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Users/chantaldenbroeder/Documents/"/>
    </mc:Choice>
  </mc:AlternateContent>
  <xr:revisionPtr revIDLastSave="0" documentId="8_{F91924D5-E50E-45B7-B696-0EA2EBD62501}" xr6:coauthVersionLast="47" xr6:coauthVersionMax="47" xr10:uidLastSave="{00000000-0000-0000-0000-000000000000}"/>
  <bookViews>
    <workbookView xWindow="0" yWindow="500" windowWidth="28800" windowHeight="16340" firstSheet="1" activeTab="1" xr2:uid="{C0F9F69C-0B9A-7C48-A275-122546BC567F}"/>
  </bookViews>
  <sheets>
    <sheet name="Glossary" sheetId="2" r:id="rId1"/>
    <sheet name="Inventory - Public Private FMS" sheetId="1" r:id="rId2"/>
    <sheet name="General" sheetId="3" state="hidden" r:id="rId3"/>
    <sheet name="National level" sheetId="5" state="hidden" r:id="rId4"/>
    <sheet name="Reg 1308 Classification" sheetId="8" state="hidden" r:id="rId5"/>
    <sheet name="Private standards" sheetId="12" state="hidden" r:id="rId6"/>
    <sheet name="Graphs" sheetId="6" state="hidden" r:id="rId7"/>
  </sheets>
  <externalReferences>
    <externalReference r:id="rId8"/>
    <externalReference r:id="rId9"/>
  </externalReferences>
  <definedNames>
    <definedName name="_xlnm._FilterDatabase" localSheetId="1" hidden="1">'Inventory - Public Private FMS'!$A$17:$ACQ$1792</definedName>
    <definedName name="_xlnm._FilterDatabase" localSheetId="3" hidden="1">'National level'!$A$4:$R$115</definedName>
    <definedName name="_xlnm._FilterDatabase" localSheetId="5" hidden="1">'Private standards'!$B$9:$Q$37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8" l="1" a="1"/>
  <c r="L13" i="8" s="1"/>
  <c r="K13" i="8" a="1"/>
  <c r="K13" i="8" s="1"/>
  <c r="J13" i="8" a="1"/>
  <c r="J13" i="8" s="1"/>
  <c r="I13" i="8" a="1"/>
  <c r="I13" i="8" s="1"/>
  <c r="H13" i="8" a="1"/>
  <c r="H13" i="8" s="1"/>
  <c r="G13" i="8" a="1"/>
  <c r="G13" i="8" s="1"/>
  <c r="F13" i="8" a="1"/>
  <c r="F13" i="8" s="1"/>
  <c r="E13" i="8" a="1"/>
  <c r="E13" i="8" s="1"/>
  <c r="L11" i="8" a="1"/>
  <c r="L11" i="8" s="1"/>
  <c r="K11" i="8" a="1"/>
  <c r="K11" i="8" s="1"/>
  <c r="J11" i="8" a="1"/>
  <c r="J11" i="8" s="1"/>
  <c r="I11" i="8" a="1"/>
  <c r="I11" i="8" s="1"/>
  <c r="H11" i="8" a="1"/>
  <c r="H11" i="8" s="1"/>
  <c r="G11" i="8" a="1"/>
  <c r="G11" i="8" s="1"/>
  <c r="F12" i="8" a="1"/>
  <c r="F12" i="8" s="1"/>
  <c r="F11" i="8" a="1"/>
  <c r="F11" i="8" s="1"/>
  <c r="E11" i="8" a="1"/>
  <c r="E11" i="8" s="1"/>
  <c r="D11" i="8" a="1"/>
  <c r="D11" i="8" s="1"/>
  <c r="L16" i="8" a="1"/>
  <c r="L16" i="8" s="1"/>
  <c r="L15" i="8" a="1"/>
  <c r="L15" i="8" s="1"/>
  <c r="L14" i="8" a="1"/>
  <c r="L14" i="8" s="1"/>
  <c r="L12" i="8" a="1"/>
  <c r="L12" i="8" s="1"/>
  <c r="L10" i="8" a="1"/>
  <c r="L10" i="8" s="1"/>
  <c r="L9" i="8" a="1"/>
  <c r="L9" i="8" s="1"/>
  <c r="L8" i="8" a="1"/>
  <c r="L8" i="8" s="1"/>
  <c r="L7" i="8" a="1"/>
  <c r="L7" i="8" s="1"/>
  <c r="L6" i="8" a="1"/>
  <c r="L6" i="8" s="1"/>
  <c r="L5" i="8" a="1"/>
  <c r="L5" i="8" s="1"/>
  <c r="L4" i="8" a="1"/>
  <c r="L4" i="8" s="1"/>
  <c r="K16" i="8" a="1"/>
  <c r="K16" i="8" s="1"/>
  <c r="K15" i="8" a="1"/>
  <c r="K15" i="8" s="1"/>
  <c r="K14" i="8" a="1"/>
  <c r="K14" i="8" s="1"/>
  <c r="K12" i="8" a="1"/>
  <c r="K12" i="8" s="1"/>
  <c r="K10" i="8" a="1"/>
  <c r="K10" i="8" s="1"/>
  <c r="K9" i="8" a="1"/>
  <c r="K9" i="8" s="1"/>
  <c r="K8" i="8" a="1"/>
  <c r="K8" i="8" s="1"/>
  <c r="K7" i="8" a="1"/>
  <c r="K7" i="8" s="1"/>
  <c r="K6" i="8" a="1"/>
  <c r="K6" i="8" s="1"/>
  <c r="K5" i="8" a="1"/>
  <c r="K5" i="8" s="1"/>
  <c r="K4" i="8" a="1"/>
  <c r="K4" i="8" s="1"/>
  <c r="J16" i="8" a="1"/>
  <c r="J16" i="8" s="1"/>
  <c r="J15" i="8" a="1"/>
  <c r="J15" i="8" s="1"/>
  <c r="J14" i="8" a="1"/>
  <c r="J14" i="8" s="1"/>
  <c r="J12" i="8" a="1"/>
  <c r="J12" i="8" s="1"/>
  <c r="J10" i="8" a="1"/>
  <c r="J10" i="8" s="1"/>
  <c r="J9" i="8" a="1"/>
  <c r="J9" i="8" s="1"/>
  <c r="J8" i="8" a="1"/>
  <c r="J8" i="8" s="1"/>
  <c r="J7" i="8" a="1"/>
  <c r="J7" i="8" s="1"/>
  <c r="J6" i="8" a="1"/>
  <c r="J6" i="8" s="1"/>
  <c r="J5" i="8" a="1"/>
  <c r="J5" i="8" s="1"/>
  <c r="J4" i="8" a="1"/>
  <c r="J4" i="8" s="1"/>
  <c r="I16" i="8" a="1"/>
  <c r="I16" i="8" s="1"/>
  <c r="I15" i="8" a="1"/>
  <c r="I15" i="8" s="1"/>
  <c r="I14" i="8" a="1"/>
  <c r="I14" i="8" s="1"/>
  <c r="I12" i="8" a="1"/>
  <c r="I12" i="8" s="1"/>
  <c r="I10" i="8" a="1"/>
  <c r="I10" i="8" s="1"/>
  <c r="I9" i="8" a="1"/>
  <c r="I9" i="8" s="1"/>
  <c r="I8" i="8" a="1"/>
  <c r="I8" i="8" s="1"/>
  <c r="I7" i="8" a="1"/>
  <c r="I7" i="8" s="1"/>
  <c r="I6" i="8" a="1"/>
  <c r="I6" i="8" s="1"/>
  <c r="I5" i="8" a="1"/>
  <c r="I5" i="8" s="1"/>
  <c r="I4" i="8" a="1"/>
  <c r="I4" i="8" s="1"/>
  <c r="H16" i="8" a="1"/>
  <c r="H16" i="8" s="1"/>
  <c r="H15" i="8" a="1"/>
  <c r="H15" i="8" s="1"/>
  <c r="H14" i="8" a="1"/>
  <c r="H14" i="8" s="1"/>
  <c r="H12" i="8" a="1"/>
  <c r="H12" i="8" s="1"/>
  <c r="H10" i="8" a="1"/>
  <c r="H10" i="8" s="1"/>
  <c r="H9" i="8" a="1"/>
  <c r="H9" i="8" s="1"/>
  <c r="H8" i="8" a="1"/>
  <c r="H8" i="8" s="1"/>
  <c r="H7" i="8" a="1"/>
  <c r="H7" i="8" s="1"/>
  <c r="H6" i="8" a="1"/>
  <c r="H6" i="8" s="1"/>
  <c r="H5" i="8" a="1"/>
  <c r="H5" i="8" s="1"/>
  <c r="H4" i="8" a="1"/>
  <c r="H4" i="8" s="1"/>
  <c r="G4" i="8" a="1"/>
  <c r="G4" i="8" s="1"/>
  <c r="G16" i="8" a="1"/>
  <c r="G16" i="8" s="1"/>
  <c r="G15" i="8" a="1"/>
  <c r="G15" i="8" s="1"/>
  <c r="G14" i="8" a="1"/>
  <c r="G14" i="8" s="1"/>
  <c r="G12" i="8" a="1"/>
  <c r="G12" i="8" s="1"/>
  <c r="G10" i="8" a="1"/>
  <c r="G10" i="8" s="1"/>
  <c r="G9" i="8" a="1"/>
  <c r="G9" i="8" s="1"/>
  <c r="G8" i="8" a="1"/>
  <c r="G8" i="8" s="1"/>
  <c r="G7" i="8" a="1"/>
  <c r="G7" i="8" s="1"/>
  <c r="G6" i="8" a="1"/>
  <c r="G6" i="8" s="1"/>
  <c r="G5" i="8" a="1"/>
  <c r="G5" i="8" s="1"/>
  <c r="F16" i="8" a="1"/>
  <c r="F16" i="8" s="1"/>
  <c r="F15" i="8" a="1"/>
  <c r="F15" i="8" s="1"/>
  <c r="F14" i="8" a="1"/>
  <c r="F14" i="8" s="1"/>
  <c r="F10" i="8" a="1"/>
  <c r="F10" i="8" s="1"/>
  <c r="F9" i="8" a="1"/>
  <c r="F9" i="8" s="1"/>
  <c r="F8" i="8" a="1"/>
  <c r="F8" i="8" s="1"/>
  <c r="F7" i="8" a="1"/>
  <c r="F7" i="8" s="1"/>
  <c r="F6" i="8" a="1"/>
  <c r="F6" i="8" s="1"/>
  <c r="F5" i="8" a="1"/>
  <c r="F5" i="8" s="1"/>
  <c r="E4" i="8" a="1"/>
  <c r="E4" i="8" s="1"/>
  <c r="E16" i="8" a="1"/>
  <c r="E16" i="8" s="1"/>
  <c r="E15" i="8" a="1"/>
  <c r="E15" i="8" s="1"/>
  <c r="E14" i="8" a="1"/>
  <c r="E14" i="8" s="1"/>
  <c r="E12" i="8" a="1"/>
  <c r="E12" i="8" s="1"/>
  <c r="E10" i="8" a="1"/>
  <c r="E10" i="8" s="1"/>
  <c r="E9" i="8" a="1"/>
  <c r="E9" i="8" s="1"/>
  <c r="E8" i="8" a="1"/>
  <c r="E8" i="8" s="1"/>
  <c r="E7" i="8" a="1"/>
  <c r="E7" i="8" s="1"/>
  <c r="E6" i="8" a="1"/>
  <c r="E6" i="8" s="1"/>
  <c r="E5" i="8" a="1"/>
  <c r="E5" i="8" s="1"/>
  <c r="D5" i="8" a="1"/>
  <c r="D5" i="8" s="1"/>
  <c r="D13" i="8" a="1"/>
  <c r="D13" i="8" s="1"/>
  <c r="D91" i="8" a="1"/>
  <c r="D91" i="8" s="1"/>
  <c r="D16" i="8" a="1"/>
  <c r="D16" i="8" s="1"/>
  <c r="D15" i="8" a="1"/>
  <c r="D15" i="8" s="1"/>
  <c r="D14" i="8" a="1"/>
  <c r="D14" i="8" s="1"/>
  <c r="D12" i="8" a="1"/>
  <c r="D12" i="8" s="1"/>
  <c r="D10" i="8" a="1"/>
  <c r="D10" i="8" s="1"/>
  <c r="D9" i="8" a="1"/>
  <c r="D9" i="8" s="1"/>
  <c r="D8" i="8" a="1"/>
  <c r="D8" i="8" s="1"/>
  <c r="D7" i="8" a="1"/>
  <c r="D7" i="8" s="1"/>
  <c r="D6" i="8" a="1"/>
  <c r="D6" i="8" s="1"/>
  <c r="D27" i="8" a="1"/>
  <c r="D27" i="8" s="1"/>
  <c r="F103" i="6"/>
  <c r="F102" i="6"/>
  <c r="F101" i="6"/>
  <c r="F100" i="6"/>
  <c r="F99" i="6"/>
  <c r="F98" i="6"/>
  <c r="F97" i="6"/>
  <c r="F96" i="6"/>
  <c r="F95" i="6"/>
  <c r="F94" i="6"/>
  <c r="F93" i="6"/>
  <c r="F92" i="6"/>
  <c r="F91" i="6"/>
  <c r="F90" i="6"/>
  <c r="F89" i="6"/>
  <c r="F88" i="6"/>
  <c r="F87" i="6"/>
  <c r="F86" i="6"/>
  <c r="F85" i="6"/>
  <c r="F84" i="6"/>
  <c r="F83" i="6"/>
  <c r="F82" i="6"/>
  <c r="F81" i="6"/>
  <c r="F80" i="6"/>
  <c r="F79" i="6"/>
  <c r="F78" i="6"/>
  <c r="F77" i="6"/>
  <c r="R45" i="5"/>
  <c r="C77" i="6" s="1"/>
  <c r="F37" i="12" a="1"/>
  <c r="F37" i="12" s="1"/>
  <c r="F36" i="12" a="1"/>
  <c r="F36" i="12" s="1"/>
  <c r="F35" i="12" a="1"/>
  <c r="F35" i="12" s="1"/>
  <c r="F34" i="12" a="1"/>
  <c r="F34" i="12" s="1"/>
  <c r="F33" i="12" a="1"/>
  <c r="F33" i="12" s="1"/>
  <c r="F32" i="12" a="1"/>
  <c r="F32" i="12" s="1"/>
  <c r="F31" i="12" a="1"/>
  <c r="F31" i="12" s="1"/>
  <c r="F30" i="12" a="1"/>
  <c r="F30" i="12" s="1"/>
  <c r="F29" i="12" a="1"/>
  <c r="F29" i="12" s="1"/>
  <c r="F28" i="12" a="1"/>
  <c r="F28" i="12" s="1"/>
  <c r="F27" i="12" a="1"/>
  <c r="F27" i="12" s="1"/>
  <c r="F26" i="12" a="1"/>
  <c r="F26" i="12" s="1"/>
  <c r="F25" i="12" a="1"/>
  <c r="F25" i="12" s="1"/>
  <c r="F24" i="12" a="1"/>
  <c r="F24" i="12" s="1"/>
  <c r="F23" i="12" a="1"/>
  <c r="F23" i="12" s="1"/>
  <c r="F22" i="12" a="1"/>
  <c r="F22" i="12" s="1"/>
  <c r="F21" i="12" a="1"/>
  <c r="F21" i="12" s="1"/>
  <c r="F20" i="12" a="1"/>
  <c r="F20" i="12" s="1"/>
  <c r="F19" i="12" a="1"/>
  <c r="F19" i="12" s="1"/>
  <c r="F18" i="12" a="1"/>
  <c r="F18" i="12" s="1"/>
  <c r="F17" i="12" a="1"/>
  <c r="F17" i="12" s="1"/>
  <c r="F16" i="12" a="1"/>
  <c r="F16" i="12" s="1"/>
  <c r="F15" i="12" a="1"/>
  <c r="F15" i="12" s="1"/>
  <c r="F14" i="12" a="1"/>
  <c r="F14" i="12" s="1"/>
  <c r="F13" i="12" a="1"/>
  <c r="F13" i="12" s="1"/>
  <c r="F12" i="12" a="1"/>
  <c r="F12" i="12" s="1"/>
  <c r="F11" i="12" a="1"/>
  <c r="F11" i="12" s="1"/>
  <c r="F10" i="12" a="1"/>
  <c r="F10" i="12" s="1"/>
  <c r="E37" i="12" a="1"/>
  <c r="E37" i="12" s="1"/>
  <c r="E36" i="12" a="1"/>
  <c r="E36" i="12" s="1"/>
  <c r="E35" i="12" a="1"/>
  <c r="E35" i="12" s="1"/>
  <c r="E34" i="12" a="1"/>
  <c r="E34" i="12" s="1"/>
  <c r="E33" i="12" a="1"/>
  <c r="E33" i="12" s="1"/>
  <c r="E32" i="12" a="1"/>
  <c r="E32" i="12" s="1"/>
  <c r="E31" i="12" a="1"/>
  <c r="E31" i="12" s="1"/>
  <c r="E30" i="12" a="1"/>
  <c r="E30" i="12" s="1"/>
  <c r="E29" i="12" a="1"/>
  <c r="E29" i="12" s="1"/>
  <c r="E28" i="12" a="1"/>
  <c r="E28" i="12" s="1"/>
  <c r="E27" i="12" a="1"/>
  <c r="E27" i="12" s="1"/>
  <c r="E26" i="12" a="1"/>
  <c r="E26" i="12" s="1"/>
  <c r="E25" i="12" a="1"/>
  <c r="E25" i="12" s="1"/>
  <c r="E24" i="12" a="1"/>
  <c r="E24" i="12" s="1"/>
  <c r="E23" i="12" a="1"/>
  <c r="E23" i="12" s="1"/>
  <c r="E22" i="12" a="1"/>
  <c r="E22" i="12" s="1"/>
  <c r="E21" i="12" a="1"/>
  <c r="E21" i="12" s="1"/>
  <c r="E20" i="12" a="1"/>
  <c r="E20" i="12" s="1"/>
  <c r="E19" i="12" a="1"/>
  <c r="E19" i="12" s="1"/>
  <c r="E18" i="12" a="1"/>
  <c r="E18" i="12" s="1"/>
  <c r="E17" i="12" a="1"/>
  <c r="E17" i="12" s="1"/>
  <c r="E16" i="12" a="1"/>
  <c r="E16" i="12" s="1"/>
  <c r="E15" i="12" a="1"/>
  <c r="E15" i="12" s="1"/>
  <c r="E14" i="12" a="1"/>
  <c r="E14" i="12" s="1"/>
  <c r="E13" i="12" a="1"/>
  <c r="E13" i="12" s="1"/>
  <c r="E12" i="12" a="1"/>
  <c r="E12" i="12" s="1"/>
  <c r="E11" i="12" a="1"/>
  <c r="E11" i="12" s="1"/>
  <c r="E10" i="12" a="1"/>
  <c r="E10" i="12" s="1"/>
  <c r="D37" i="12" a="1"/>
  <c r="D37" i="12" s="1"/>
  <c r="D36" i="12" a="1"/>
  <c r="D36" i="12" s="1"/>
  <c r="D35" i="12" a="1"/>
  <c r="D35" i="12" s="1"/>
  <c r="D34" i="12" a="1"/>
  <c r="D34" i="12" s="1"/>
  <c r="D33" i="12" a="1"/>
  <c r="D33" i="12" s="1"/>
  <c r="D32" i="12" a="1"/>
  <c r="D32" i="12" s="1"/>
  <c r="D31" i="12" a="1"/>
  <c r="D31" i="12" s="1"/>
  <c r="D30" i="12" a="1"/>
  <c r="D30" i="12" s="1"/>
  <c r="D29" i="12" a="1"/>
  <c r="D29" i="12" s="1"/>
  <c r="D28" i="12" a="1"/>
  <c r="D28" i="12" s="1"/>
  <c r="D27" i="12" a="1"/>
  <c r="D27" i="12" s="1"/>
  <c r="D26" i="12" a="1"/>
  <c r="D26" i="12" s="1"/>
  <c r="D25" i="12" a="1"/>
  <c r="D25" i="12" s="1"/>
  <c r="D24" i="12" a="1"/>
  <c r="D24" i="12" s="1"/>
  <c r="D23" i="12" a="1"/>
  <c r="D23" i="12" s="1"/>
  <c r="D22" i="12" a="1"/>
  <c r="D22" i="12" s="1"/>
  <c r="D21" i="12" a="1"/>
  <c r="D21" i="12" s="1"/>
  <c r="D20" i="12" a="1"/>
  <c r="D20" i="12" s="1"/>
  <c r="D19" i="12" a="1"/>
  <c r="D19" i="12" s="1"/>
  <c r="D18" i="12" a="1"/>
  <c r="D18" i="12" s="1"/>
  <c r="D17" i="12" a="1"/>
  <c r="D17" i="12" s="1"/>
  <c r="D16" i="12" a="1"/>
  <c r="D16" i="12" s="1"/>
  <c r="D15" i="12" a="1"/>
  <c r="D15" i="12" s="1"/>
  <c r="D14" i="12" a="1"/>
  <c r="D14" i="12" s="1"/>
  <c r="D13" i="12" a="1"/>
  <c r="D13" i="12" s="1"/>
  <c r="D12" i="12" a="1"/>
  <c r="D12" i="12" s="1"/>
  <c r="D11" i="12" a="1"/>
  <c r="D11" i="12" s="1"/>
  <c r="D10" i="12" a="1"/>
  <c r="D10" i="12" s="1"/>
  <c r="Q37" i="12" a="1"/>
  <c r="Q37" i="12" s="1"/>
  <c r="J37" i="12" a="1"/>
  <c r="J37" i="12" s="1"/>
  <c r="I37" i="12" a="1"/>
  <c r="I37" i="12" s="1"/>
  <c r="K37" i="12" a="1"/>
  <c r="K37" i="12" s="1"/>
  <c r="L37" i="12" a="1"/>
  <c r="L37" i="12" s="1"/>
  <c r="M37" i="12" a="1"/>
  <c r="M37" i="12" s="1"/>
  <c r="N37" i="12" a="1"/>
  <c r="N37" i="12" s="1"/>
  <c r="O37" i="12" a="1"/>
  <c r="O37" i="12" s="1"/>
  <c r="P37" i="12" a="1"/>
  <c r="P37" i="12" s="1"/>
  <c r="H37" i="12" a="1"/>
  <c r="H37" i="12" s="1"/>
  <c r="H36" i="12" a="1"/>
  <c r="H36" i="12" s="1"/>
  <c r="G37" i="12" a="1"/>
  <c r="G37" i="12" s="1"/>
  <c r="G36" i="12" a="1"/>
  <c r="G36" i="12" s="1"/>
  <c r="C37" i="12" a="1"/>
  <c r="C37" i="12" s="1"/>
  <c r="C31" i="12" a="1"/>
  <c r="C31" i="12" s="1"/>
  <c r="Q36" i="12" a="1"/>
  <c r="Q36" i="12" s="1"/>
  <c r="O36" i="12" a="1"/>
  <c r="O36" i="12" s="1"/>
  <c r="N36" i="12" a="1"/>
  <c r="N36" i="12" s="1"/>
  <c r="M36" i="12" a="1"/>
  <c r="M36" i="12" s="1"/>
  <c r="L36" i="12" a="1"/>
  <c r="L36" i="12" s="1"/>
  <c r="J36" i="12" a="1"/>
  <c r="J36" i="12" s="1"/>
  <c r="I36" i="12" a="1"/>
  <c r="I36" i="12" s="1"/>
  <c r="C36" i="12" a="1"/>
  <c r="C36" i="12" s="1"/>
  <c r="Q35" i="12" a="1"/>
  <c r="Q35" i="12" s="1"/>
  <c r="O35" i="12" a="1"/>
  <c r="O35" i="12" s="1"/>
  <c r="N35" i="12" a="1"/>
  <c r="N35" i="12" s="1"/>
  <c r="M35" i="12" a="1"/>
  <c r="M35" i="12" s="1"/>
  <c r="L35" i="12" a="1"/>
  <c r="L35" i="12" s="1"/>
  <c r="J35" i="12" a="1"/>
  <c r="J35" i="12" s="1"/>
  <c r="I35" i="12" a="1"/>
  <c r="I35" i="12" s="1"/>
  <c r="H35" i="12" a="1"/>
  <c r="H35" i="12" s="1"/>
  <c r="G35" i="12" a="1"/>
  <c r="G35" i="12" s="1"/>
  <c r="C35" i="12" a="1"/>
  <c r="C35" i="12" s="1"/>
  <c r="Q34" i="12" a="1"/>
  <c r="Q34" i="12" s="1"/>
  <c r="O34" i="12" a="1"/>
  <c r="O34" i="12" s="1"/>
  <c r="N34" i="12" a="1"/>
  <c r="N34" i="12" s="1"/>
  <c r="M34" i="12" a="1"/>
  <c r="M34" i="12" s="1"/>
  <c r="L34" i="12" a="1"/>
  <c r="L34" i="12" s="1"/>
  <c r="J34" i="12" a="1"/>
  <c r="J34" i="12" s="1"/>
  <c r="I34" i="12" a="1"/>
  <c r="I34" i="12" s="1"/>
  <c r="H34" i="12" a="1"/>
  <c r="H34" i="12" s="1"/>
  <c r="G34" i="12" a="1"/>
  <c r="G34" i="12" s="1"/>
  <c r="C34" i="12" a="1"/>
  <c r="C34" i="12" s="1"/>
  <c r="Q33" i="12" a="1"/>
  <c r="Q33" i="12" s="1"/>
  <c r="O33" i="12" a="1"/>
  <c r="O33" i="12" s="1"/>
  <c r="N33" i="12" a="1"/>
  <c r="N33" i="12" s="1"/>
  <c r="M33" i="12" a="1"/>
  <c r="M33" i="12" s="1"/>
  <c r="L33" i="12" a="1"/>
  <c r="L33" i="12" s="1"/>
  <c r="J33" i="12" a="1"/>
  <c r="J33" i="12" s="1"/>
  <c r="I33" i="12" a="1"/>
  <c r="I33" i="12" s="1"/>
  <c r="H33" i="12" a="1"/>
  <c r="H33" i="12" s="1"/>
  <c r="G33" i="12" a="1"/>
  <c r="G33" i="12" s="1"/>
  <c r="C33" i="12" a="1"/>
  <c r="C33" i="12" s="1"/>
  <c r="Q32" i="12" a="1"/>
  <c r="Q32" i="12" s="1"/>
  <c r="O32" i="12" a="1"/>
  <c r="O32" i="12" s="1"/>
  <c r="N32" i="12" a="1"/>
  <c r="N32" i="12" s="1"/>
  <c r="M32" i="12" a="1"/>
  <c r="M32" i="12" s="1"/>
  <c r="L32" i="12" a="1"/>
  <c r="L32" i="12" s="1"/>
  <c r="J32" i="12" a="1"/>
  <c r="J32" i="12" s="1"/>
  <c r="I32" i="12" a="1"/>
  <c r="I32" i="12" s="1"/>
  <c r="H32" i="12" a="1"/>
  <c r="H32" i="12" s="1"/>
  <c r="G32" i="12" a="1"/>
  <c r="G32" i="12" s="1"/>
  <c r="C32" i="12" a="1"/>
  <c r="C32" i="12" s="1"/>
  <c r="Q31" i="12" a="1"/>
  <c r="Q31" i="12" s="1"/>
  <c r="O31" i="12" a="1"/>
  <c r="O31" i="12" s="1"/>
  <c r="N31" i="12" a="1"/>
  <c r="N31" i="12" s="1"/>
  <c r="M31" i="12" a="1"/>
  <c r="M31" i="12" s="1"/>
  <c r="L31" i="12" a="1"/>
  <c r="L31" i="12" s="1"/>
  <c r="J31" i="12" a="1"/>
  <c r="J31" i="12" s="1"/>
  <c r="I31" i="12" a="1"/>
  <c r="I31" i="12" s="1"/>
  <c r="H31" i="12" a="1"/>
  <c r="H31" i="12" s="1"/>
  <c r="G31" i="12" a="1"/>
  <c r="G31" i="12" s="1"/>
  <c r="Q30" i="12" a="1"/>
  <c r="Q30" i="12" s="1"/>
  <c r="O30" i="12" a="1"/>
  <c r="O30" i="12" s="1"/>
  <c r="N30" i="12" a="1"/>
  <c r="N30" i="12" s="1"/>
  <c r="M30" i="12" a="1"/>
  <c r="M30" i="12" s="1"/>
  <c r="L30" i="12" a="1"/>
  <c r="L30" i="12" s="1"/>
  <c r="J30" i="12" a="1"/>
  <c r="J30" i="12" s="1"/>
  <c r="I30" i="12" a="1"/>
  <c r="I30" i="12" s="1"/>
  <c r="H30" i="12" a="1"/>
  <c r="H30" i="12" s="1"/>
  <c r="G30" i="12" a="1"/>
  <c r="G30" i="12" s="1"/>
  <c r="C30" i="12" a="1"/>
  <c r="C30" i="12" s="1"/>
  <c r="Q29" i="12" a="1"/>
  <c r="Q29" i="12" s="1"/>
  <c r="O29" i="12" a="1"/>
  <c r="O29" i="12" s="1"/>
  <c r="N29" i="12" a="1"/>
  <c r="N29" i="12" s="1"/>
  <c r="M29" i="12" a="1"/>
  <c r="M29" i="12" s="1"/>
  <c r="L29" i="12" a="1"/>
  <c r="L29" i="12" s="1"/>
  <c r="J29" i="12" a="1"/>
  <c r="J29" i="12" s="1"/>
  <c r="I29" i="12" a="1"/>
  <c r="I29" i="12" s="1"/>
  <c r="H29" i="12" a="1"/>
  <c r="H29" i="12" s="1"/>
  <c r="G29" i="12" a="1"/>
  <c r="G29" i="12" s="1"/>
  <c r="C29" i="12" a="1"/>
  <c r="C29" i="12" s="1"/>
  <c r="Q28" i="12" a="1"/>
  <c r="Q28" i="12" s="1"/>
  <c r="O28" i="12" a="1"/>
  <c r="O28" i="12" s="1"/>
  <c r="N28" i="12" a="1"/>
  <c r="N28" i="12" s="1"/>
  <c r="M28" i="12" a="1"/>
  <c r="M28" i="12" s="1"/>
  <c r="L28" i="12" a="1"/>
  <c r="L28" i="12" s="1"/>
  <c r="J28" i="12" a="1"/>
  <c r="J28" i="12" s="1"/>
  <c r="I28" i="12" a="1"/>
  <c r="I28" i="12" s="1"/>
  <c r="H28" i="12" a="1"/>
  <c r="H28" i="12" s="1"/>
  <c r="G28" i="12" a="1"/>
  <c r="G28" i="12" s="1"/>
  <c r="C28" i="12" a="1"/>
  <c r="C28" i="12" s="1"/>
  <c r="Q27" i="12" a="1"/>
  <c r="Q27" i="12" s="1"/>
  <c r="O27" i="12" a="1"/>
  <c r="O27" i="12" s="1"/>
  <c r="N27" i="12" a="1"/>
  <c r="N27" i="12" s="1"/>
  <c r="M27" i="12" a="1"/>
  <c r="M27" i="12" s="1"/>
  <c r="L27" i="12" a="1"/>
  <c r="L27" i="12" s="1"/>
  <c r="J27" i="12" a="1"/>
  <c r="J27" i="12" s="1"/>
  <c r="I27" i="12" a="1"/>
  <c r="I27" i="12" s="1"/>
  <c r="H27" i="12" a="1"/>
  <c r="H27" i="12" s="1"/>
  <c r="G27" i="12" a="1"/>
  <c r="G27" i="12" s="1"/>
  <c r="C27" i="12" a="1"/>
  <c r="C27" i="12" s="1"/>
  <c r="Q26" i="12" a="1"/>
  <c r="Q26" i="12" s="1"/>
  <c r="O26" i="12" a="1"/>
  <c r="O26" i="12" s="1"/>
  <c r="N26" i="12" a="1"/>
  <c r="N26" i="12" s="1"/>
  <c r="M26" i="12" a="1"/>
  <c r="M26" i="12" s="1"/>
  <c r="L26" i="12" a="1"/>
  <c r="L26" i="12" s="1"/>
  <c r="J26" i="12" a="1"/>
  <c r="J26" i="12" s="1"/>
  <c r="I26" i="12" a="1"/>
  <c r="I26" i="12" s="1"/>
  <c r="H26" i="12" a="1"/>
  <c r="H26" i="12" s="1"/>
  <c r="G26" i="12" a="1"/>
  <c r="G26" i="12" s="1"/>
  <c r="C26" i="12" a="1"/>
  <c r="C26" i="12" s="1"/>
  <c r="Q25" i="12" a="1"/>
  <c r="Q25" i="12" s="1"/>
  <c r="O25" i="12" a="1"/>
  <c r="O25" i="12" s="1"/>
  <c r="N25" i="12" a="1"/>
  <c r="N25" i="12" s="1"/>
  <c r="M25" i="12" a="1"/>
  <c r="M25" i="12" s="1"/>
  <c r="L25" i="12" a="1"/>
  <c r="L25" i="12" s="1"/>
  <c r="J25" i="12" a="1"/>
  <c r="J25" i="12" s="1"/>
  <c r="I25" i="12" a="1"/>
  <c r="I25" i="12" s="1"/>
  <c r="H25" i="12" a="1"/>
  <c r="H25" i="12" s="1"/>
  <c r="G25" i="12" a="1"/>
  <c r="G25" i="12" s="1"/>
  <c r="C25" i="12" a="1"/>
  <c r="C25" i="12" s="1"/>
  <c r="Q24" i="12" a="1"/>
  <c r="Q24" i="12" s="1"/>
  <c r="O24" i="12" a="1"/>
  <c r="O24" i="12" s="1"/>
  <c r="N24" i="12" a="1"/>
  <c r="N24" i="12" s="1"/>
  <c r="M24" i="12" a="1"/>
  <c r="M24" i="12" s="1"/>
  <c r="L24" i="12" a="1"/>
  <c r="L24" i="12" s="1"/>
  <c r="J24" i="12" a="1"/>
  <c r="J24" i="12" s="1"/>
  <c r="I24" i="12" a="1"/>
  <c r="I24" i="12" s="1"/>
  <c r="H24" i="12" a="1"/>
  <c r="H24" i="12" s="1"/>
  <c r="G24" i="12" a="1"/>
  <c r="G24" i="12" s="1"/>
  <c r="C24" i="12" a="1"/>
  <c r="C24" i="12" s="1"/>
  <c r="Q23" i="12" a="1"/>
  <c r="Q23" i="12" s="1"/>
  <c r="O23" i="12" a="1"/>
  <c r="O23" i="12" s="1"/>
  <c r="N23" i="12" a="1"/>
  <c r="N23" i="12" s="1"/>
  <c r="M23" i="12" a="1"/>
  <c r="M23" i="12" s="1"/>
  <c r="L23" i="12" a="1"/>
  <c r="L23" i="12" s="1"/>
  <c r="J23" i="12" a="1"/>
  <c r="J23" i="12" s="1"/>
  <c r="I23" i="12" a="1"/>
  <c r="I23" i="12" s="1"/>
  <c r="H23" i="12" a="1"/>
  <c r="H23" i="12" s="1"/>
  <c r="G23" i="12" a="1"/>
  <c r="G23" i="12" s="1"/>
  <c r="C23" i="12" a="1"/>
  <c r="C23" i="12" s="1"/>
  <c r="Q22" i="12" a="1"/>
  <c r="Q22" i="12" s="1"/>
  <c r="O22" i="12" a="1"/>
  <c r="O22" i="12" s="1"/>
  <c r="N22" i="12" a="1"/>
  <c r="N22" i="12" s="1"/>
  <c r="M22" i="12" a="1"/>
  <c r="M22" i="12" s="1"/>
  <c r="L22" i="12" a="1"/>
  <c r="L22" i="12" s="1"/>
  <c r="J22" i="12" a="1"/>
  <c r="J22" i="12" s="1"/>
  <c r="I22" i="12" a="1"/>
  <c r="I22" i="12" s="1"/>
  <c r="H22" i="12" a="1"/>
  <c r="H22" i="12" s="1"/>
  <c r="G22" i="12" a="1"/>
  <c r="G22" i="12" s="1"/>
  <c r="C22" i="12" a="1"/>
  <c r="C22" i="12" s="1"/>
  <c r="Q21" i="12" a="1"/>
  <c r="Q21" i="12" s="1"/>
  <c r="O21" i="12" a="1"/>
  <c r="O21" i="12" s="1"/>
  <c r="N21" i="12" a="1"/>
  <c r="N21" i="12" s="1"/>
  <c r="M21" i="12" a="1"/>
  <c r="M21" i="12" s="1"/>
  <c r="L21" i="12" a="1"/>
  <c r="L21" i="12" s="1"/>
  <c r="J21" i="12" a="1"/>
  <c r="J21" i="12" s="1"/>
  <c r="I21" i="12" a="1"/>
  <c r="I21" i="12" s="1"/>
  <c r="H21" i="12" a="1"/>
  <c r="H21" i="12" s="1"/>
  <c r="G21" i="12" a="1"/>
  <c r="G21" i="12" s="1"/>
  <c r="C21" i="12" a="1"/>
  <c r="C21" i="12" s="1"/>
  <c r="Q20" i="12" a="1"/>
  <c r="Q20" i="12" s="1"/>
  <c r="O20" i="12" a="1"/>
  <c r="O20" i="12" s="1"/>
  <c r="N20" i="12" a="1"/>
  <c r="N20" i="12" s="1"/>
  <c r="M20" i="12" a="1"/>
  <c r="M20" i="12" s="1"/>
  <c r="L20" i="12" a="1"/>
  <c r="L20" i="12" s="1"/>
  <c r="J20" i="12" a="1"/>
  <c r="J20" i="12" s="1"/>
  <c r="I20" i="12" a="1"/>
  <c r="I20" i="12" s="1"/>
  <c r="H20" i="12" a="1"/>
  <c r="H20" i="12" s="1"/>
  <c r="G20" i="12" a="1"/>
  <c r="G20" i="12" s="1"/>
  <c r="C20" i="12" a="1"/>
  <c r="C20" i="12" s="1"/>
  <c r="Q19" i="12" a="1"/>
  <c r="Q19" i="12" s="1"/>
  <c r="O19" i="12" a="1"/>
  <c r="O19" i="12" s="1"/>
  <c r="N19" i="12" a="1"/>
  <c r="N19" i="12" s="1"/>
  <c r="M19" i="12" a="1"/>
  <c r="M19" i="12" s="1"/>
  <c r="L19" i="12" a="1"/>
  <c r="L19" i="12" s="1"/>
  <c r="J19" i="12" a="1"/>
  <c r="J19" i="12" s="1"/>
  <c r="I19" i="12" a="1"/>
  <c r="I19" i="12" s="1"/>
  <c r="H19" i="12" a="1"/>
  <c r="H19" i="12" s="1"/>
  <c r="G19" i="12" a="1"/>
  <c r="G19" i="12" s="1"/>
  <c r="C19" i="12" a="1"/>
  <c r="C19" i="12" s="1"/>
  <c r="Q18" i="12" a="1"/>
  <c r="Q18" i="12" s="1"/>
  <c r="O18" i="12" a="1"/>
  <c r="O18" i="12" s="1"/>
  <c r="N18" i="12" a="1"/>
  <c r="N18" i="12" s="1"/>
  <c r="M18" i="12" a="1"/>
  <c r="M18" i="12" s="1"/>
  <c r="L18" i="12" a="1"/>
  <c r="L18" i="12" s="1"/>
  <c r="J18" i="12" a="1"/>
  <c r="J18" i="12" s="1"/>
  <c r="I18" i="12" a="1"/>
  <c r="I18" i="12" s="1"/>
  <c r="H18" i="12" a="1"/>
  <c r="H18" i="12" s="1"/>
  <c r="G18" i="12" a="1"/>
  <c r="G18" i="12" s="1"/>
  <c r="C18" i="12" a="1"/>
  <c r="C18" i="12" s="1"/>
  <c r="Q17" i="12" a="1"/>
  <c r="Q17" i="12" s="1"/>
  <c r="O17" i="12" a="1"/>
  <c r="O17" i="12" s="1"/>
  <c r="N17" i="12" a="1"/>
  <c r="N17" i="12" s="1"/>
  <c r="M17" i="12" a="1"/>
  <c r="M17" i="12" s="1"/>
  <c r="L17" i="12" a="1"/>
  <c r="L17" i="12" s="1"/>
  <c r="J17" i="12" a="1"/>
  <c r="J17" i="12" s="1"/>
  <c r="I17" i="12" a="1"/>
  <c r="I17" i="12" s="1"/>
  <c r="H17" i="12" a="1"/>
  <c r="H17" i="12" s="1"/>
  <c r="G17" i="12" a="1"/>
  <c r="G17" i="12" s="1"/>
  <c r="C17" i="12" a="1"/>
  <c r="C17" i="12" s="1"/>
  <c r="Q16" i="12" a="1"/>
  <c r="Q16" i="12" s="1"/>
  <c r="O16" i="12" a="1"/>
  <c r="O16" i="12" s="1"/>
  <c r="N16" i="12" a="1"/>
  <c r="N16" i="12" s="1"/>
  <c r="M16" i="12" a="1"/>
  <c r="M16" i="12" s="1"/>
  <c r="L16" i="12" a="1"/>
  <c r="L16" i="12" s="1"/>
  <c r="J16" i="12" a="1"/>
  <c r="J16" i="12" s="1"/>
  <c r="I16" i="12" a="1"/>
  <c r="I16" i="12" s="1"/>
  <c r="H16" i="12" a="1"/>
  <c r="H16" i="12" s="1"/>
  <c r="G16" i="12" a="1"/>
  <c r="G16" i="12" s="1"/>
  <c r="C16" i="12" a="1"/>
  <c r="C16" i="12" s="1"/>
  <c r="Q15" i="12" a="1"/>
  <c r="Q15" i="12" s="1"/>
  <c r="O15" i="12" a="1"/>
  <c r="O15" i="12" s="1"/>
  <c r="N15" i="12" a="1"/>
  <c r="N15" i="12" s="1"/>
  <c r="M15" i="12" a="1"/>
  <c r="M15" i="12" s="1"/>
  <c r="L15" i="12" a="1"/>
  <c r="L15" i="12" s="1"/>
  <c r="J15" i="12" a="1"/>
  <c r="J15" i="12" s="1"/>
  <c r="I15" i="12" a="1"/>
  <c r="I15" i="12" s="1"/>
  <c r="H15" i="12" a="1"/>
  <c r="H15" i="12" s="1"/>
  <c r="G15" i="12" a="1"/>
  <c r="G15" i="12" s="1"/>
  <c r="C15" i="12" a="1"/>
  <c r="C15" i="12" s="1"/>
  <c r="Q14" i="12" a="1"/>
  <c r="Q14" i="12" s="1"/>
  <c r="O14" i="12" a="1"/>
  <c r="O14" i="12" s="1"/>
  <c r="N14" i="12" a="1"/>
  <c r="N14" i="12" s="1"/>
  <c r="M14" i="12" a="1"/>
  <c r="M14" i="12" s="1"/>
  <c r="L14" i="12" a="1"/>
  <c r="L14" i="12" s="1"/>
  <c r="J14" i="12" a="1"/>
  <c r="J14" i="12" s="1"/>
  <c r="I14" i="12" a="1"/>
  <c r="I14" i="12" s="1"/>
  <c r="H14" i="12" a="1"/>
  <c r="H14" i="12" s="1"/>
  <c r="G14" i="12" a="1"/>
  <c r="G14" i="12" s="1"/>
  <c r="C14" i="12" a="1"/>
  <c r="C14" i="12" s="1"/>
  <c r="Q13" i="12" a="1"/>
  <c r="Q13" i="12" s="1"/>
  <c r="O13" i="12" a="1"/>
  <c r="O13" i="12" s="1"/>
  <c r="N13" i="12" a="1"/>
  <c r="N13" i="12" s="1"/>
  <c r="M13" i="12" a="1"/>
  <c r="M13" i="12" s="1"/>
  <c r="L13" i="12" a="1"/>
  <c r="L13" i="12" s="1"/>
  <c r="J13" i="12" a="1"/>
  <c r="J13" i="12" s="1"/>
  <c r="I13" i="12" a="1"/>
  <c r="I13" i="12" s="1"/>
  <c r="H13" i="12" a="1"/>
  <c r="H13" i="12" s="1"/>
  <c r="G13" i="12" a="1"/>
  <c r="G13" i="12" s="1"/>
  <c r="C13" i="12" a="1"/>
  <c r="C13" i="12" s="1"/>
  <c r="Q12" i="12" a="1"/>
  <c r="Q12" i="12" s="1"/>
  <c r="O12" i="12" a="1"/>
  <c r="O12" i="12" s="1"/>
  <c r="N12" i="12" a="1"/>
  <c r="N12" i="12" s="1"/>
  <c r="M12" i="12" a="1"/>
  <c r="M12" i="12" s="1"/>
  <c r="L12" i="12" a="1"/>
  <c r="L12" i="12" s="1"/>
  <c r="J12" i="12" a="1"/>
  <c r="J12" i="12" s="1"/>
  <c r="I12" i="12" a="1"/>
  <c r="I12" i="12" s="1"/>
  <c r="H12" i="12" a="1"/>
  <c r="H12" i="12" s="1"/>
  <c r="G12" i="12" a="1"/>
  <c r="G12" i="12" s="1"/>
  <c r="C12" i="12" a="1"/>
  <c r="C12" i="12" s="1"/>
  <c r="Q11" i="12" a="1"/>
  <c r="Q11" i="12" s="1"/>
  <c r="O11" i="12" a="1"/>
  <c r="O11" i="12" s="1"/>
  <c r="N11" i="12" a="1"/>
  <c r="N11" i="12" s="1"/>
  <c r="M11" i="12" a="1"/>
  <c r="M11" i="12" s="1"/>
  <c r="L11" i="12" a="1"/>
  <c r="L11" i="12" s="1"/>
  <c r="J11" i="12" a="1"/>
  <c r="J11" i="12" s="1"/>
  <c r="I11" i="12" a="1"/>
  <c r="I11" i="12" s="1"/>
  <c r="H11" i="12" a="1"/>
  <c r="H11" i="12" s="1"/>
  <c r="G11" i="12" a="1"/>
  <c r="G11" i="12" s="1"/>
  <c r="C11" i="12" a="1"/>
  <c r="C11" i="12" s="1"/>
  <c r="Q10" i="12" a="1"/>
  <c r="Q10" i="12" s="1"/>
  <c r="O10" i="12" a="1"/>
  <c r="O10" i="12" s="1"/>
  <c r="N10" i="12" a="1"/>
  <c r="N10" i="12" s="1"/>
  <c r="M10" i="12" a="1"/>
  <c r="M10" i="12" s="1"/>
  <c r="L10" i="12" a="1"/>
  <c r="L10" i="12" s="1"/>
  <c r="J10" i="12" a="1"/>
  <c r="J10" i="12" s="1"/>
  <c r="I10" i="12" a="1"/>
  <c r="I10" i="12" s="1"/>
  <c r="H10" i="12" a="1"/>
  <c r="H10" i="12" s="1"/>
  <c r="G10" i="12" a="1"/>
  <c r="G10" i="12" s="1"/>
  <c r="C10" i="12" a="1"/>
  <c r="C10" i="12" s="1"/>
  <c r="Q6" i="12" a="1"/>
  <c r="Q6" i="12" s="1"/>
  <c r="O6" i="12" a="1"/>
  <c r="O6" i="12" s="1"/>
  <c r="N6" i="12" a="1"/>
  <c r="N6" i="12" s="1"/>
  <c r="M6" i="12" a="1"/>
  <c r="M6" i="12" s="1"/>
  <c r="L6" i="12" a="1"/>
  <c r="L6" i="12" s="1"/>
  <c r="J6" i="12" a="1"/>
  <c r="J6" i="12" s="1"/>
  <c r="I6" i="12" a="1"/>
  <c r="I6" i="12" s="1"/>
  <c r="H6" i="12" a="1"/>
  <c r="H6" i="12" s="1"/>
  <c r="G6" i="12" a="1"/>
  <c r="G6" i="12" s="1"/>
  <c r="F6" i="12" a="1"/>
  <c r="F6" i="12" s="1"/>
  <c r="E6" i="12" a="1"/>
  <c r="E6" i="12" s="1"/>
  <c r="D6" i="12" a="1"/>
  <c r="D6" i="12" s="1"/>
  <c r="C6" i="12" a="1"/>
  <c r="C6" i="12" s="1"/>
  <c r="Q5" i="12" a="1"/>
  <c r="Q5" i="12" s="1"/>
  <c r="O5" i="12" a="1"/>
  <c r="O5" i="12" s="1"/>
  <c r="N5" i="12" a="1"/>
  <c r="N5" i="12" s="1"/>
  <c r="M5" i="12" a="1"/>
  <c r="M5" i="12" s="1"/>
  <c r="L5" i="12" a="1"/>
  <c r="L5" i="12" s="1"/>
  <c r="J5" i="12" a="1"/>
  <c r="J5" i="12" s="1"/>
  <c r="I5" i="12" a="1"/>
  <c r="I5" i="12" s="1"/>
  <c r="H5" i="12" a="1"/>
  <c r="H5" i="12" s="1"/>
  <c r="G5" i="12" a="1"/>
  <c r="G5" i="12" s="1"/>
  <c r="F5" i="12" a="1"/>
  <c r="F5" i="12" s="1"/>
  <c r="E5" i="12" a="1"/>
  <c r="E5" i="12" s="1"/>
  <c r="D5" i="12" a="1"/>
  <c r="D5" i="12" s="1"/>
  <c r="C5" i="12" a="1"/>
  <c r="C5" i="12" s="1"/>
  <c r="L91" i="8" a="1"/>
  <c r="L91" i="8" s="1"/>
  <c r="K91" i="8" a="1"/>
  <c r="K91" i="8" s="1"/>
  <c r="J91" i="8" a="1"/>
  <c r="J91" i="8" s="1"/>
  <c r="I91" i="8" a="1"/>
  <c r="I91" i="8" s="1"/>
  <c r="H91" i="8" a="1"/>
  <c r="H91" i="8" s="1"/>
  <c r="G91" i="8" a="1"/>
  <c r="G91" i="8" s="1"/>
  <c r="F91" i="8" a="1"/>
  <c r="F91" i="8" s="1"/>
  <c r="E91" i="8" a="1"/>
  <c r="E91" i="8" s="1"/>
  <c r="F92" i="8" a="1"/>
  <c r="F92" i="8" s="1"/>
  <c r="G92" i="8" a="1"/>
  <c r="G92" i="8" s="1"/>
  <c r="H92" i="8" a="1"/>
  <c r="H92" i="8" s="1"/>
  <c r="I92" i="8" a="1"/>
  <c r="I92" i="8" s="1"/>
  <c r="J92" i="8" a="1"/>
  <c r="J92" i="8" s="1"/>
  <c r="K92" i="8" a="1"/>
  <c r="K92" i="8" s="1"/>
  <c r="L92" i="8" a="1"/>
  <c r="L92" i="8" s="1"/>
  <c r="D93" i="8" a="1"/>
  <c r="D93" i="8" s="1"/>
  <c r="L93" i="8" a="1"/>
  <c r="L93" i="8" s="1"/>
  <c r="K93" i="8" a="1"/>
  <c r="K93" i="8" s="1"/>
  <c r="J93" i="8" a="1"/>
  <c r="J93" i="8" s="1"/>
  <c r="I93" i="8" a="1"/>
  <c r="I93" i="8" s="1"/>
  <c r="H93" i="8" a="1"/>
  <c r="H93" i="8" s="1"/>
  <c r="G93" i="8" a="1"/>
  <c r="G93" i="8" s="1"/>
  <c r="F93" i="8" a="1"/>
  <c r="F93" i="8" s="1"/>
  <c r="E93" i="8" a="1"/>
  <c r="E93" i="8" s="1"/>
  <c r="L117" i="8" a="1"/>
  <c r="L117" i="8" s="1"/>
  <c r="K117" i="8" a="1"/>
  <c r="K117" i="8" s="1"/>
  <c r="J117" i="8" a="1"/>
  <c r="J117" i="8" s="1"/>
  <c r="I117" i="8" a="1"/>
  <c r="I117" i="8" s="1"/>
  <c r="H117" i="8" a="1"/>
  <c r="H117" i="8" s="1"/>
  <c r="G117" i="8" a="1"/>
  <c r="G117" i="8" s="1"/>
  <c r="F117" i="8" a="1"/>
  <c r="F117" i="8" s="1"/>
  <c r="E117" i="8" a="1"/>
  <c r="E117" i="8" s="1"/>
  <c r="D117" i="8" a="1"/>
  <c r="D117" i="8" s="1"/>
  <c r="L116" i="8" a="1"/>
  <c r="L116" i="8" s="1"/>
  <c r="K116" i="8" a="1"/>
  <c r="K116" i="8" s="1"/>
  <c r="J116" i="8" a="1"/>
  <c r="J116" i="8" s="1"/>
  <c r="I116" i="8" a="1"/>
  <c r="I116" i="8" s="1"/>
  <c r="H116" i="8" a="1"/>
  <c r="H116" i="8" s="1"/>
  <c r="G116" i="8" a="1"/>
  <c r="G116" i="8" s="1"/>
  <c r="F116" i="8" a="1"/>
  <c r="F116" i="8" s="1"/>
  <c r="E116" i="8" a="1"/>
  <c r="E116" i="8" s="1"/>
  <c r="D116" i="8" a="1"/>
  <c r="D116" i="8" s="1"/>
  <c r="L115" i="8" a="1"/>
  <c r="L115" i="8" s="1"/>
  <c r="K115" i="8" a="1"/>
  <c r="K115" i="8" s="1"/>
  <c r="J115" i="8" a="1"/>
  <c r="J115" i="8" s="1"/>
  <c r="I115" i="8" a="1"/>
  <c r="I115" i="8" s="1"/>
  <c r="H115" i="8" a="1"/>
  <c r="H115" i="8" s="1"/>
  <c r="G115" i="8" a="1"/>
  <c r="G115" i="8" s="1"/>
  <c r="F115" i="8" a="1"/>
  <c r="F115" i="8" s="1"/>
  <c r="E115" i="8" a="1"/>
  <c r="E115" i="8" s="1"/>
  <c r="D115" i="8" a="1"/>
  <c r="D115" i="8" s="1"/>
  <c r="L114" i="8" a="1"/>
  <c r="L114" i="8" s="1"/>
  <c r="K114" i="8" a="1"/>
  <c r="K114" i="8" s="1"/>
  <c r="J114" i="8" a="1"/>
  <c r="J114" i="8" s="1"/>
  <c r="I114" i="8" a="1"/>
  <c r="I114" i="8" s="1"/>
  <c r="H114" i="8" a="1"/>
  <c r="H114" i="8" s="1"/>
  <c r="G114" i="8" a="1"/>
  <c r="G114" i="8" s="1"/>
  <c r="F114" i="8" a="1"/>
  <c r="F114" i="8" s="1"/>
  <c r="E114" i="8" a="1"/>
  <c r="E114" i="8" s="1"/>
  <c r="D114" i="8" a="1"/>
  <c r="D114" i="8" s="1"/>
  <c r="L113" i="8" a="1"/>
  <c r="L113" i="8" s="1"/>
  <c r="K113" i="8" a="1"/>
  <c r="K113" i="8" s="1"/>
  <c r="J113" i="8" a="1"/>
  <c r="J113" i="8" s="1"/>
  <c r="I113" i="8" a="1"/>
  <c r="I113" i="8" s="1"/>
  <c r="H113" i="8" a="1"/>
  <c r="H113" i="8" s="1"/>
  <c r="G113" i="8" a="1"/>
  <c r="G113" i="8" s="1"/>
  <c r="F113" i="8" a="1"/>
  <c r="F113" i="8" s="1"/>
  <c r="E113" i="8" a="1"/>
  <c r="E113" i="8" s="1"/>
  <c r="D113" i="8" a="1"/>
  <c r="D113" i="8" s="1"/>
  <c r="L112" i="8" a="1"/>
  <c r="L112" i="8" s="1"/>
  <c r="K112" i="8" a="1"/>
  <c r="K112" i="8" s="1"/>
  <c r="J112" i="8" a="1"/>
  <c r="J112" i="8" s="1"/>
  <c r="I112" i="8" a="1"/>
  <c r="I112" i="8" s="1"/>
  <c r="H112" i="8" a="1"/>
  <c r="H112" i="8" s="1"/>
  <c r="G112" i="8" a="1"/>
  <c r="G112" i="8" s="1"/>
  <c r="F112" i="8" a="1"/>
  <c r="F112" i="8" s="1"/>
  <c r="E112" i="8" a="1"/>
  <c r="E112" i="8" s="1"/>
  <c r="D112" i="8" a="1"/>
  <c r="D112" i="8" s="1"/>
  <c r="L111" i="8" a="1"/>
  <c r="L111" i="8" s="1"/>
  <c r="K111" i="8" a="1"/>
  <c r="K111" i="8" s="1"/>
  <c r="J111" i="8" a="1"/>
  <c r="J111" i="8" s="1"/>
  <c r="I111" i="8" a="1"/>
  <c r="I111" i="8" s="1"/>
  <c r="H111" i="8" a="1"/>
  <c r="H111" i="8" s="1"/>
  <c r="G111" i="8" a="1"/>
  <c r="G111" i="8" s="1"/>
  <c r="F111" i="8" a="1"/>
  <c r="F111" i="8" s="1"/>
  <c r="E111" i="8" a="1"/>
  <c r="E111" i="8" s="1"/>
  <c r="D111" i="8" a="1"/>
  <c r="D111" i="8" s="1"/>
  <c r="L109" i="8" a="1"/>
  <c r="L109" i="8" s="1"/>
  <c r="K109" i="8" a="1"/>
  <c r="K109" i="8" s="1"/>
  <c r="J109" i="8" a="1"/>
  <c r="J109" i="8" s="1"/>
  <c r="I109" i="8" a="1"/>
  <c r="I109" i="8" s="1"/>
  <c r="H109" i="8" a="1"/>
  <c r="H109" i="8" s="1"/>
  <c r="G109" i="8" a="1"/>
  <c r="G109" i="8" s="1"/>
  <c r="F109" i="8" a="1"/>
  <c r="F109" i="8" s="1"/>
  <c r="E109" i="8" a="1"/>
  <c r="E109" i="8" s="1"/>
  <c r="D109" i="8" a="1"/>
  <c r="D109" i="8" s="1"/>
  <c r="L108" i="8" a="1"/>
  <c r="L108" i="8" s="1"/>
  <c r="K108" i="8" a="1"/>
  <c r="K108" i="8" s="1"/>
  <c r="J108" i="8" a="1"/>
  <c r="J108" i="8" s="1"/>
  <c r="I108" i="8" a="1"/>
  <c r="I108" i="8" s="1"/>
  <c r="H108" i="8" a="1"/>
  <c r="H108" i="8" s="1"/>
  <c r="G108" i="8" a="1"/>
  <c r="G108" i="8" s="1"/>
  <c r="F108" i="8" a="1"/>
  <c r="F108" i="8" s="1"/>
  <c r="E108" i="8" a="1"/>
  <c r="E108" i="8" s="1"/>
  <c r="D108" i="8" a="1"/>
  <c r="D108" i="8" s="1"/>
  <c r="L107" i="8" a="1"/>
  <c r="L107" i="8" s="1"/>
  <c r="K107" i="8" a="1"/>
  <c r="K107" i="8" s="1"/>
  <c r="J107" i="8" a="1"/>
  <c r="J107" i="8" s="1"/>
  <c r="I107" i="8" a="1"/>
  <c r="I107" i="8" s="1"/>
  <c r="H107" i="8" a="1"/>
  <c r="H107" i="8" s="1"/>
  <c r="G107" i="8" a="1"/>
  <c r="G107" i="8" s="1"/>
  <c r="F107" i="8" a="1"/>
  <c r="F107" i="8" s="1"/>
  <c r="E107" i="8" a="1"/>
  <c r="E107" i="8" s="1"/>
  <c r="D107" i="8" a="1"/>
  <c r="D107" i="8" s="1"/>
  <c r="L106" i="8" a="1"/>
  <c r="L106" i="8" s="1"/>
  <c r="K106" i="8" a="1"/>
  <c r="K106" i="8" s="1"/>
  <c r="J106" i="8" a="1"/>
  <c r="J106" i="8" s="1"/>
  <c r="I106" i="8" a="1"/>
  <c r="I106" i="8" s="1"/>
  <c r="H106" i="8" a="1"/>
  <c r="H106" i="8" s="1"/>
  <c r="G106" i="8" a="1"/>
  <c r="G106" i="8" s="1"/>
  <c r="F106" i="8" a="1"/>
  <c r="F106" i="8" s="1"/>
  <c r="E106" i="8" a="1"/>
  <c r="E106" i="8" s="1"/>
  <c r="D106" i="8" a="1"/>
  <c r="D106" i="8" s="1"/>
  <c r="L105" i="8" a="1"/>
  <c r="L105" i="8" s="1"/>
  <c r="K105" i="8" a="1"/>
  <c r="K105" i="8" s="1"/>
  <c r="J105" i="8" a="1"/>
  <c r="J105" i="8" s="1"/>
  <c r="I105" i="8" a="1"/>
  <c r="I105" i="8" s="1"/>
  <c r="H105" i="8" a="1"/>
  <c r="H105" i="8" s="1"/>
  <c r="G105" i="8" a="1"/>
  <c r="G105" i="8" s="1"/>
  <c r="F105" i="8" a="1"/>
  <c r="F105" i="8" s="1"/>
  <c r="E105" i="8" a="1"/>
  <c r="E105" i="8" s="1"/>
  <c r="D105" i="8" a="1"/>
  <c r="D105" i="8" s="1"/>
  <c r="L104" i="8" a="1"/>
  <c r="L104" i="8" s="1"/>
  <c r="K104" i="8" a="1"/>
  <c r="K104" i="8" s="1"/>
  <c r="J104" i="8" a="1"/>
  <c r="J104" i="8" s="1"/>
  <c r="I104" i="8" a="1"/>
  <c r="I104" i="8" s="1"/>
  <c r="H104" i="8" a="1"/>
  <c r="H104" i="8" s="1"/>
  <c r="G104" i="8" a="1"/>
  <c r="G104" i="8" s="1"/>
  <c r="F104" i="8" a="1"/>
  <c r="F104" i="8" s="1"/>
  <c r="E104" i="8" a="1"/>
  <c r="E104" i="8" s="1"/>
  <c r="D104" i="8" a="1"/>
  <c r="D104" i="8" s="1"/>
  <c r="L103" i="8" a="1"/>
  <c r="L103" i="8" s="1"/>
  <c r="K103" i="8" a="1"/>
  <c r="K103" i="8" s="1"/>
  <c r="J103" i="8" a="1"/>
  <c r="J103" i="8" s="1"/>
  <c r="I103" i="8" a="1"/>
  <c r="I103" i="8" s="1"/>
  <c r="H103" i="8" a="1"/>
  <c r="H103" i="8" s="1"/>
  <c r="G103" i="8" a="1"/>
  <c r="G103" i="8" s="1"/>
  <c r="F103" i="8" a="1"/>
  <c r="F103" i="8" s="1"/>
  <c r="E103" i="8" a="1"/>
  <c r="E103" i="8" s="1"/>
  <c r="D103" i="8" a="1"/>
  <c r="D103" i="8" s="1"/>
  <c r="L101" i="8" a="1"/>
  <c r="L101" i="8" s="1"/>
  <c r="K101" i="8" a="1"/>
  <c r="K101" i="8" s="1"/>
  <c r="J101" i="8" a="1"/>
  <c r="J101" i="8" s="1"/>
  <c r="I101" i="8" a="1"/>
  <c r="I101" i="8" s="1"/>
  <c r="H101" i="8" a="1"/>
  <c r="H101" i="8" s="1"/>
  <c r="G101" i="8" a="1"/>
  <c r="G101" i="8" s="1"/>
  <c r="F101" i="8" a="1"/>
  <c r="F101" i="8" s="1"/>
  <c r="E101" i="8" a="1"/>
  <c r="E101" i="8" s="1"/>
  <c r="D101" i="8" a="1"/>
  <c r="D101" i="8" s="1"/>
  <c r="L100" i="8" a="1"/>
  <c r="L100" i="8" s="1"/>
  <c r="K100" i="8" a="1"/>
  <c r="K100" i="8" s="1"/>
  <c r="J100" i="8" a="1"/>
  <c r="J100" i="8" s="1"/>
  <c r="I100" i="8" a="1"/>
  <c r="I100" i="8" s="1"/>
  <c r="H100" i="8" a="1"/>
  <c r="H100" i="8" s="1"/>
  <c r="G100" i="8" a="1"/>
  <c r="G100" i="8" s="1"/>
  <c r="F100" i="8" a="1"/>
  <c r="F100" i="8" s="1"/>
  <c r="E100" i="8" a="1"/>
  <c r="E100" i="8" s="1"/>
  <c r="D100" i="8" a="1"/>
  <c r="D100" i="8" s="1"/>
  <c r="L99" i="8" a="1"/>
  <c r="L99" i="8" s="1"/>
  <c r="K99" i="8" a="1"/>
  <c r="K99" i="8" s="1"/>
  <c r="J99" i="8" a="1"/>
  <c r="J99" i="8" s="1"/>
  <c r="I99" i="8" a="1"/>
  <c r="I99" i="8" s="1"/>
  <c r="H99" i="8" a="1"/>
  <c r="H99" i="8" s="1"/>
  <c r="G99" i="8" a="1"/>
  <c r="G99" i="8" s="1"/>
  <c r="F99" i="8" a="1"/>
  <c r="F99" i="8" s="1"/>
  <c r="E99" i="8" a="1"/>
  <c r="E99" i="8" s="1"/>
  <c r="D99" i="8" a="1"/>
  <c r="D99" i="8" s="1"/>
  <c r="L98" i="8" a="1"/>
  <c r="L98" i="8" s="1"/>
  <c r="K98" i="8" a="1"/>
  <c r="K98" i="8" s="1"/>
  <c r="J98" i="8" a="1"/>
  <c r="J98" i="8" s="1"/>
  <c r="I98" i="8" a="1"/>
  <c r="I98" i="8" s="1"/>
  <c r="H98" i="8" a="1"/>
  <c r="H98" i="8" s="1"/>
  <c r="G98" i="8" a="1"/>
  <c r="G98" i="8" s="1"/>
  <c r="F98" i="8" a="1"/>
  <c r="F98" i="8" s="1"/>
  <c r="E98" i="8" a="1"/>
  <c r="E98" i="8" s="1"/>
  <c r="D98" i="8" a="1"/>
  <c r="D98" i="8" s="1"/>
  <c r="L97" i="8" a="1"/>
  <c r="L97" i="8" s="1"/>
  <c r="K97" i="8" a="1"/>
  <c r="K97" i="8" s="1"/>
  <c r="J97" i="8" a="1"/>
  <c r="J97" i="8" s="1"/>
  <c r="I97" i="8" a="1"/>
  <c r="I97" i="8" s="1"/>
  <c r="H97" i="8" a="1"/>
  <c r="H97" i="8" s="1"/>
  <c r="G97" i="8" a="1"/>
  <c r="G97" i="8" s="1"/>
  <c r="F97" i="8" a="1"/>
  <c r="F97" i="8" s="1"/>
  <c r="E97" i="8" a="1"/>
  <c r="E97" i="8" s="1"/>
  <c r="D97" i="8" a="1"/>
  <c r="D97" i="8" s="1"/>
  <c r="L96" i="8" a="1"/>
  <c r="L96" i="8" s="1"/>
  <c r="K96" i="8" a="1"/>
  <c r="K96" i="8" s="1"/>
  <c r="J96" i="8" a="1"/>
  <c r="J96" i="8" s="1"/>
  <c r="I96" i="8" a="1"/>
  <c r="I96" i="8" s="1"/>
  <c r="H96" i="8" a="1"/>
  <c r="H96" i="8" s="1"/>
  <c r="G96" i="8" a="1"/>
  <c r="G96" i="8" s="1"/>
  <c r="F96" i="8" a="1"/>
  <c r="F96" i="8" s="1"/>
  <c r="E96" i="8" a="1"/>
  <c r="E96" i="8" s="1"/>
  <c r="D96" i="8" a="1"/>
  <c r="D96" i="8" s="1"/>
  <c r="L95" i="8" a="1"/>
  <c r="L95" i="8" s="1"/>
  <c r="K95" i="8" a="1"/>
  <c r="K95" i="8" s="1"/>
  <c r="J95" i="8" a="1"/>
  <c r="J95" i="8" s="1"/>
  <c r="I95" i="8" a="1"/>
  <c r="I95" i="8" s="1"/>
  <c r="H95" i="8" a="1"/>
  <c r="H95" i="8" s="1"/>
  <c r="G95" i="8" a="1"/>
  <c r="G95" i="8" s="1"/>
  <c r="F95" i="8" a="1"/>
  <c r="F95" i="8" s="1"/>
  <c r="E95" i="8" a="1"/>
  <c r="E95" i="8" s="1"/>
  <c r="D95" i="8" a="1"/>
  <c r="D95" i="8" s="1"/>
  <c r="E92" i="8" a="1"/>
  <c r="E92" i="8" s="1"/>
  <c r="D92" i="8" a="1"/>
  <c r="D92" i="8" s="1"/>
  <c r="L90" i="8" a="1"/>
  <c r="L90" i="8" s="1"/>
  <c r="K90" i="8" a="1"/>
  <c r="K90" i="8" s="1"/>
  <c r="J90" i="8" a="1"/>
  <c r="J90" i="8" s="1"/>
  <c r="I90" i="8" a="1"/>
  <c r="I90" i="8" s="1"/>
  <c r="H90" i="8" a="1"/>
  <c r="H90" i="8" s="1"/>
  <c r="G90" i="8" a="1"/>
  <c r="G90" i="8" s="1"/>
  <c r="F90" i="8" a="1"/>
  <c r="F90" i="8" s="1"/>
  <c r="E90" i="8" a="1"/>
  <c r="E90" i="8" s="1"/>
  <c r="D90" i="8" a="1"/>
  <c r="D90" i="8" s="1"/>
  <c r="L89" i="8" a="1"/>
  <c r="L89" i="8" s="1"/>
  <c r="K89" i="8" a="1"/>
  <c r="K89" i="8" s="1"/>
  <c r="J89" i="8" a="1"/>
  <c r="J89" i="8" s="1"/>
  <c r="I89" i="8" a="1"/>
  <c r="I89" i="8" s="1"/>
  <c r="H89" i="8" a="1"/>
  <c r="H89" i="8" s="1"/>
  <c r="G89" i="8" a="1"/>
  <c r="G89" i="8" s="1"/>
  <c r="F89" i="8" a="1"/>
  <c r="F89" i="8" s="1"/>
  <c r="E89" i="8" a="1"/>
  <c r="E89" i="8" s="1"/>
  <c r="D89" i="8" a="1"/>
  <c r="D89" i="8" s="1"/>
  <c r="L88" i="8" a="1"/>
  <c r="L88" i="8" s="1"/>
  <c r="K88" i="8" a="1"/>
  <c r="K88" i="8" s="1"/>
  <c r="J88" i="8" a="1"/>
  <c r="J88" i="8" s="1"/>
  <c r="I88" i="8" a="1"/>
  <c r="I88" i="8" s="1"/>
  <c r="H88" i="8" a="1"/>
  <c r="H88" i="8" s="1"/>
  <c r="G88" i="8" a="1"/>
  <c r="G88" i="8" s="1"/>
  <c r="F88" i="8" a="1"/>
  <c r="F88" i="8" s="1"/>
  <c r="E88" i="8" a="1"/>
  <c r="E88" i="8" s="1"/>
  <c r="D88" i="8" a="1"/>
  <c r="D88" i="8" s="1"/>
  <c r="L87" i="8" a="1"/>
  <c r="L87" i="8" s="1"/>
  <c r="K87" i="8" a="1"/>
  <c r="K87" i="8" s="1"/>
  <c r="J87" i="8" a="1"/>
  <c r="J87" i="8" s="1"/>
  <c r="I87" i="8" a="1"/>
  <c r="I87" i="8" s="1"/>
  <c r="H87" i="8" a="1"/>
  <c r="H87" i="8" s="1"/>
  <c r="G87" i="8" a="1"/>
  <c r="G87" i="8" s="1"/>
  <c r="F87" i="8" a="1"/>
  <c r="F87" i="8" s="1"/>
  <c r="E87" i="8" a="1"/>
  <c r="E87" i="8" s="1"/>
  <c r="D87" i="8" a="1"/>
  <c r="D87" i="8" s="1"/>
  <c r="L86" i="8" a="1"/>
  <c r="L86" i="8" s="1"/>
  <c r="K86" i="8" a="1"/>
  <c r="K86" i="8" s="1"/>
  <c r="J86" i="8" a="1"/>
  <c r="J86" i="8" s="1"/>
  <c r="I86" i="8" a="1"/>
  <c r="I86" i="8" s="1"/>
  <c r="H86" i="8" a="1"/>
  <c r="H86" i="8" s="1"/>
  <c r="G86" i="8" a="1"/>
  <c r="G86" i="8" s="1"/>
  <c r="F86" i="8" a="1"/>
  <c r="F86" i="8" s="1"/>
  <c r="E86" i="8" a="1"/>
  <c r="E86" i="8" s="1"/>
  <c r="D86" i="8" a="1"/>
  <c r="D86" i="8" s="1"/>
  <c r="L84" i="8" a="1"/>
  <c r="L84" i="8" s="1"/>
  <c r="K84" i="8" a="1"/>
  <c r="K84" i="8" s="1"/>
  <c r="J84" i="8" a="1"/>
  <c r="J84" i="8" s="1"/>
  <c r="I84" i="8" a="1"/>
  <c r="I84" i="8" s="1"/>
  <c r="H84" i="8" a="1"/>
  <c r="H84" i="8" s="1"/>
  <c r="G84" i="8" a="1"/>
  <c r="G84" i="8" s="1"/>
  <c r="F84" i="8" a="1"/>
  <c r="F84" i="8" s="1"/>
  <c r="E84" i="8" a="1"/>
  <c r="E84" i="8" s="1"/>
  <c r="D84" i="8" a="1"/>
  <c r="D84" i="8" s="1"/>
  <c r="L83" i="8" a="1"/>
  <c r="L83" i="8" s="1"/>
  <c r="K83" i="8" a="1"/>
  <c r="K83" i="8" s="1"/>
  <c r="J83" i="8" a="1"/>
  <c r="J83" i="8" s="1"/>
  <c r="I83" i="8" a="1"/>
  <c r="I83" i="8" s="1"/>
  <c r="H83" i="8" a="1"/>
  <c r="H83" i="8" s="1"/>
  <c r="G83" i="8" a="1"/>
  <c r="G83" i="8" s="1"/>
  <c r="F83" i="8" a="1"/>
  <c r="F83" i="8" s="1"/>
  <c r="E83" i="8" a="1"/>
  <c r="E83" i="8" s="1"/>
  <c r="D83" i="8" a="1"/>
  <c r="D83" i="8" s="1"/>
  <c r="L82" i="8" a="1"/>
  <c r="L82" i="8" s="1"/>
  <c r="K82" i="8" a="1"/>
  <c r="K82" i="8" s="1"/>
  <c r="J82" i="8" a="1"/>
  <c r="J82" i="8" s="1"/>
  <c r="I82" i="8" a="1"/>
  <c r="I82" i="8" s="1"/>
  <c r="H82" i="8" a="1"/>
  <c r="H82" i="8" s="1"/>
  <c r="G82" i="8" a="1"/>
  <c r="G82" i="8" s="1"/>
  <c r="F82" i="8" a="1"/>
  <c r="F82" i="8" s="1"/>
  <c r="E82" i="8" a="1"/>
  <c r="E82" i="8" s="1"/>
  <c r="D82" i="8" a="1"/>
  <c r="D82" i="8" s="1"/>
  <c r="L81" i="8" a="1"/>
  <c r="L81" i="8" s="1"/>
  <c r="K81" i="8" a="1"/>
  <c r="K81" i="8" s="1"/>
  <c r="J81" i="8" a="1"/>
  <c r="J81" i="8" s="1"/>
  <c r="I81" i="8" a="1"/>
  <c r="I81" i="8" s="1"/>
  <c r="H81" i="8" a="1"/>
  <c r="H81" i="8" s="1"/>
  <c r="G81" i="8" a="1"/>
  <c r="G81" i="8" s="1"/>
  <c r="F81" i="8" a="1"/>
  <c r="F81" i="8" s="1"/>
  <c r="E81" i="8" a="1"/>
  <c r="E81" i="8" s="1"/>
  <c r="D81" i="8" a="1"/>
  <c r="D81" i="8" s="1"/>
  <c r="L80" i="8" a="1"/>
  <c r="L80" i="8" s="1"/>
  <c r="K80" i="8" a="1"/>
  <c r="K80" i="8" s="1"/>
  <c r="J80" i="8" a="1"/>
  <c r="J80" i="8" s="1"/>
  <c r="I80" i="8" a="1"/>
  <c r="I80" i="8" s="1"/>
  <c r="H80" i="8" a="1"/>
  <c r="H80" i="8" s="1"/>
  <c r="G80" i="8" a="1"/>
  <c r="G80" i="8" s="1"/>
  <c r="F80" i="8" a="1"/>
  <c r="F80" i="8" s="1"/>
  <c r="E80" i="8" a="1"/>
  <c r="E80" i="8" s="1"/>
  <c r="D80" i="8" a="1"/>
  <c r="D80" i="8" s="1"/>
  <c r="L79" i="8" a="1"/>
  <c r="L79" i="8" s="1"/>
  <c r="K79" i="8" a="1"/>
  <c r="K79" i="8" s="1"/>
  <c r="J79" i="8" a="1"/>
  <c r="J79" i="8" s="1"/>
  <c r="I79" i="8" a="1"/>
  <c r="I79" i="8" s="1"/>
  <c r="H79" i="8" a="1"/>
  <c r="H79" i="8" s="1"/>
  <c r="G79" i="8" a="1"/>
  <c r="G79" i="8" s="1"/>
  <c r="F79" i="8" a="1"/>
  <c r="F79" i="8" s="1"/>
  <c r="E79" i="8" a="1"/>
  <c r="E79" i="8" s="1"/>
  <c r="D79" i="8" a="1"/>
  <c r="D79" i="8" s="1"/>
  <c r="L78" i="8" a="1"/>
  <c r="L78" i="8" s="1"/>
  <c r="K78" i="8" a="1"/>
  <c r="K78" i="8" s="1"/>
  <c r="J78" i="8" a="1"/>
  <c r="J78" i="8" s="1"/>
  <c r="I78" i="8" a="1"/>
  <c r="I78" i="8" s="1"/>
  <c r="H78" i="8" a="1"/>
  <c r="H78" i="8" s="1"/>
  <c r="G78" i="8" a="1"/>
  <c r="G78" i="8" s="1"/>
  <c r="F78" i="8" a="1"/>
  <c r="F78" i="8" s="1"/>
  <c r="E78" i="8" a="1"/>
  <c r="E78" i="8" s="1"/>
  <c r="D78" i="8" a="1"/>
  <c r="D78" i="8" s="1"/>
  <c r="L76" i="8" a="1"/>
  <c r="L76" i="8" s="1"/>
  <c r="K76" i="8" a="1"/>
  <c r="K76" i="8" s="1"/>
  <c r="J76" i="8" a="1"/>
  <c r="J76" i="8" s="1"/>
  <c r="I76" i="8" a="1"/>
  <c r="I76" i="8" s="1"/>
  <c r="H76" i="8" a="1"/>
  <c r="H76" i="8" s="1"/>
  <c r="G76" i="8" a="1"/>
  <c r="G76" i="8" s="1"/>
  <c r="F76" i="8" a="1"/>
  <c r="F76" i="8" s="1"/>
  <c r="E76" i="8" a="1"/>
  <c r="E76" i="8" s="1"/>
  <c r="D76" i="8" a="1"/>
  <c r="D76" i="8" s="1"/>
  <c r="L75" i="8" a="1"/>
  <c r="L75" i="8" s="1"/>
  <c r="K75" i="8" a="1"/>
  <c r="K75" i="8" s="1"/>
  <c r="J75" i="8" a="1"/>
  <c r="J75" i="8" s="1"/>
  <c r="I75" i="8" a="1"/>
  <c r="I75" i="8" s="1"/>
  <c r="H75" i="8" a="1"/>
  <c r="H75" i="8" s="1"/>
  <c r="G75" i="8" a="1"/>
  <c r="G75" i="8" s="1"/>
  <c r="F75" i="8" a="1"/>
  <c r="F75" i="8" s="1"/>
  <c r="E75" i="8" a="1"/>
  <c r="E75" i="8" s="1"/>
  <c r="D75" i="8" a="1"/>
  <c r="D75" i="8" s="1"/>
  <c r="L74" i="8" a="1"/>
  <c r="L74" i="8" s="1"/>
  <c r="K74" i="8" a="1"/>
  <c r="K74" i="8" s="1"/>
  <c r="J74" i="8" a="1"/>
  <c r="J74" i="8" s="1"/>
  <c r="I74" i="8" a="1"/>
  <c r="I74" i="8" s="1"/>
  <c r="H74" i="8" a="1"/>
  <c r="H74" i="8" s="1"/>
  <c r="G74" i="8" a="1"/>
  <c r="G74" i="8" s="1"/>
  <c r="F74" i="8" a="1"/>
  <c r="F74" i="8" s="1"/>
  <c r="E74" i="8" a="1"/>
  <c r="E74" i="8" s="1"/>
  <c r="D74" i="8" a="1"/>
  <c r="D74" i="8" s="1"/>
  <c r="L73" i="8" a="1"/>
  <c r="L73" i="8" s="1"/>
  <c r="K73" i="8" a="1"/>
  <c r="K73" i="8" s="1"/>
  <c r="J73" i="8" a="1"/>
  <c r="J73" i="8" s="1"/>
  <c r="I73" i="8" a="1"/>
  <c r="I73" i="8" s="1"/>
  <c r="H73" i="8" a="1"/>
  <c r="H73" i="8" s="1"/>
  <c r="G73" i="8" a="1"/>
  <c r="G73" i="8" s="1"/>
  <c r="F73" i="8" a="1"/>
  <c r="F73" i="8" s="1"/>
  <c r="E73" i="8" a="1"/>
  <c r="E73" i="8" s="1"/>
  <c r="D73" i="8" a="1"/>
  <c r="D73" i="8" s="1"/>
  <c r="L72" i="8" a="1"/>
  <c r="L72" i="8" s="1"/>
  <c r="K72" i="8" a="1"/>
  <c r="K72" i="8" s="1"/>
  <c r="J72" i="8" a="1"/>
  <c r="J72" i="8" s="1"/>
  <c r="I72" i="8" a="1"/>
  <c r="I72" i="8" s="1"/>
  <c r="H72" i="8" a="1"/>
  <c r="H72" i="8" s="1"/>
  <c r="G72" i="8" a="1"/>
  <c r="G72" i="8" s="1"/>
  <c r="F72" i="8" a="1"/>
  <c r="F72" i="8" s="1"/>
  <c r="E72" i="8" a="1"/>
  <c r="E72" i="8" s="1"/>
  <c r="D72" i="8" a="1"/>
  <c r="D72" i="8" s="1"/>
  <c r="L71" i="8" a="1"/>
  <c r="L71" i="8" s="1"/>
  <c r="K71" i="8" a="1"/>
  <c r="K71" i="8" s="1"/>
  <c r="J71" i="8" a="1"/>
  <c r="J71" i="8" s="1"/>
  <c r="I71" i="8" a="1"/>
  <c r="I71" i="8" s="1"/>
  <c r="H71" i="8" a="1"/>
  <c r="H71" i="8" s="1"/>
  <c r="G71" i="8" a="1"/>
  <c r="G71" i="8" s="1"/>
  <c r="F71" i="8" a="1"/>
  <c r="F71" i="8" s="1"/>
  <c r="E71" i="8" a="1"/>
  <c r="E71" i="8" s="1"/>
  <c r="D71" i="8" a="1"/>
  <c r="D71" i="8" s="1"/>
  <c r="L70" i="8" a="1"/>
  <c r="L70" i="8" s="1"/>
  <c r="K70" i="8" a="1"/>
  <c r="K70" i="8" s="1"/>
  <c r="J70" i="8" a="1"/>
  <c r="J70" i="8" s="1"/>
  <c r="I70" i="8" a="1"/>
  <c r="I70" i="8" s="1"/>
  <c r="H70" i="8" a="1"/>
  <c r="H70" i="8" s="1"/>
  <c r="G70" i="8" a="1"/>
  <c r="G70" i="8" s="1"/>
  <c r="F70" i="8" a="1"/>
  <c r="F70" i="8" s="1"/>
  <c r="E70" i="8" a="1"/>
  <c r="E70" i="8" s="1"/>
  <c r="D70" i="8" a="1"/>
  <c r="D70" i="8" s="1"/>
  <c r="L68" i="8" a="1"/>
  <c r="L68" i="8" s="1"/>
  <c r="K68" i="8" a="1"/>
  <c r="K68" i="8" s="1"/>
  <c r="J68" i="8" a="1"/>
  <c r="J68" i="8" s="1"/>
  <c r="I68" i="8" a="1"/>
  <c r="I68" i="8" s="1"/>
  <c r="H68" i="8" a="1"/>
  <c r="H68" i="8" s="1"/>
  <c r="G68" i="8" a="1"/>
  <c r="G68" i="8" s="1"/>
  <c r="F68" i="8" a="1"/>
  <c r="F68" i="8" s="1"/>
  <c r="E68" i="8" a="1"/>
  <c r="E68" i="8" s="1"/>
  <c r="D68" i="8" a="1"/>
  <c r="D68" i="8" s="1"/>
  <c r="L67" i="8" a="1"/>
  <c r="L67" i="8" s="1"/>
  <c r="K67" i="8" a="1"/>
  <c r="K67" i="8" s="1"/>
  <c r="J67" i="8" a="1"/>
  <c r="J67" i="8" s="1"/>
  <c r="I67" i="8" a="1"/>
  <c r="I67" i="8" s="1"/>
  <c r="H67" i="8" a="1"/>
  <c r="H67" i="8" s="1"/>
  <c r="G67" i="8" a="1"/>
  <c r="G67" i="8" s="1"/>
  <c r="F67" i="8" a="1"/>
  <c r="F67" i="8" s="1"/>
  <c r="E67" i="8" a="1"/>
  <c r="E67" i="8" s="1"/>
  <c r="D67" i="8" a="1"/>
  <c r="D67" i="8" s="1"/>
  <c r="L66" i="8" a="1"/>
  <c r="L66" i="8" s="1"/>
  <c r="K66" i="8" a="1"/>
  <c r="K66" i="8" s="1"/>
  <c r="J66" i="8" a="1"/>
  <c r="J66" i="8" s="1"/>
  <c r="I66" i="8" a="1"/>
  <c r="I66" i="8" s="1"/>
  <c r="H66" i="8" a="1"/>
  <c r="H66" i="8" s="1"/>
  <c r="G66" i="8" a="1"/>
  <c r="G66" i="8" s="1"/>
  <c r="F66" i="8" a="1"/>
  <c r="F66" i="8" s="1"/>
  <c r="E66" i="8" a="1"/>
  <c r="E66" i="8" s="1"/>
  <c r="D66" i="8" a="1"/>
  <c r="D66" i="8" s="1"/>
  <c r="L65" i="8" a="1"/>
  <c r="L65" i="8" s="1"/>
  <c r="K65" i="8" a="1"/>
  <c r="K65" i="8" s="1"/>
  <c r="J65" i="8" a="1"/>
  <c r="J65" i="8" s="1"/>
  <c r="I65" i="8" a="1"/>
  <c r="I65" i="8" s="1"/>
  <c r="H65" i="8" a="1"/>
  <c r="H65" i="8" s="1"/>
  <c r="G65" i="8" a="1"/>
  <c r="G65" i="8" s="1"/>
  <c r="F65" i="8" a="1"/>
  <c r="F65" i="8" s="1"/>
  <c r="E65" i="8" a="1"/>
  <c r="E65" i="8" s="1"/>
  <c r="D65" i="8" a="1"/>
  <c r="D65" i="8" s="1"/>
  <c r="L64" i="8" a="1"/>
  <c r="L64" i="8" s="1"/>
  <c r="K64" i="8" a="1"/>
  <c r="K64" i="8" s="1"/>
  <c r="J64" i="8" a="1"/>
  <c r="J64" i="8" s="1"/>
  <c r="I64" i="8" a="1"/>
  <c r="I64" i="8" s="1"/>
  <c r="H64" i="8" a="1"/>
  <c r="H64" i="8" s="1"/>
  <c r="G64" i="8" a="1"/>
  <c r="G64" i="8" s="1"/>
  <c r="F64" i="8" a="1"/>
  <c r="F64" i="8" s="1"/>
  <c r="E64" i="8" a="1"/>
  <c r="E64" i="8" s="1"/>
  <c r="D64" i="8" a="1"/>
  <c r="D64" i="8" s="1"/>
  <c r="L63" i="8" a="1"/>
  <c r="L63" i="8" s="1"/>
  <c r="K63" i="8" a="1"/>
  <c r="K63" i="8" s="1"/>
  <c r="J63" i="8" a="1"/>
  <c r="J63" i="8" s="1"/>
  <c r="I63" i="8" a="1"/>
  <c r="I63" i="8" s="1"/>
  <c r="H63" i="8" a="1"/>
  <c r="H63" i="8" s="1"/>
  <c r="G63" i="8" a="1"/>
  <c r="G63" i="8" s="1"/>
  <c r="F63" i="8" a="1"/>
  <c r="F63" i="8" s="1"/>
  <c r="E63" i="8" a="1"/>
  <c r="E63" i="8" s="1"/>
  <c r="D63" i="8" a="1"/>
  <c r="D63" i="8" s="1"/>
  <c r="L62" i="8" a="1"/>
  <c r="L62" i="8" s="1"/>
  <c r="K62" i="8" a="1"/>
  <c r="K62" i="8" s="1"/>
  <c r="J62" i="8" a="1"/>
  <c r="J62" i="8" s="1"/>
  <c r="I62" i="8" a="1"/>
  <c r="I62" i="8" s="1"/>
  <c r="H62" i="8" a="1"/>
  <c r="H62" i="8" s="1"/>
  <c r="G62" i="8" a="1"/>
  <c r="G62" i="8" s="1"/>
  <c r="F62" i="8" a="1"/>
  <c r="F62" i="8" s="1"/>
  <c r="E62" i="8" a="1"/>
  <c r="E62" i="8" s="1"/>
  <c r="D62" i="8" a="1"/>
  <c r="D62" i="8" s="1"/>
  <c r="L60" i="8" a="1"/>
  <c r="L60" i="8" s="1"/>
  <c r="K60" i="8" a="1"/>
  <c r="K60" i="8" s="1"/>
  <c r="J60" i="8" a="1"/>
  <c r="J60" i="8" s="1"/>
  <c r="I60" i="8" a="1"/>
  <c r="I60" i="8" s="1"/>
  <c r="H60" i="8" a="1"/>
  <c r="H60" i="8" s="1"/>
  <c r="G60" i="8" a="1"/>
  <c r="G60" i="8" s="1"/>
  <c r="F60" i="8" a="1"/>
  <c r="F60" i="8" s="1"/>
  <c r="E60" i="8" a="1"/>
  <c r="E60" i="8" s="1"/>
  <c r="D60" i="8" a="1"/>
  <c r="D60" i="8" s="1"/>
  <c r="L59" i="8" a="1"/>
  <c r="L59" i="8" s="1"/>
  <c r="K59" i="8" a="1"/>
  <c r="K59" i="8" s="1"/>
  <c r="J59" i="8" a="1"/>
  <c r="J59" i="8" s="1"/>
  <c r="I59" i="8" a="1"/>
  <c r="I59" i="8" s="1"/>
  <c r="H59" i="8" a="1"/>
  <c r="H59" i="8" s="1"/>
  <c r="G59" i="8" a="1"/>
  <c r="G59" i="8" s="1"/>
  <c r="F59" i="8" a="1"/>
  <c r="F59" i="8" s="1"/>
  <c r="E59" i="8" a="1"/>
  <c r="E59" i="8" s="1"/>
  <c r="D59" i="8" a="1"/>
  <c r="D59" i="8" s="1"/>
  <c r="L58" i="8" a="1"/>
  <c r="L58" i="8" s="1"/>
  <c r="K58" i="8" a="1"/>
  <c r="K58" i="8" s="1"/>
  <c r="J58" i="8" a="1"/>
  <c r="J58" i="8" s="1"/>
  <c r="I58" i="8" a="1"/>
  <c r="I58" i="8" s="1"/>
  <c r="H58" i="8" a="1"/>
  <c r="H58" i="8" s="1"/>
  <c r="G58" i="8" a="1"/>
  <c r="G58" i="8" s="1"/>
  <c r="F58" i="8" a="1"/>
  <c r="F58" i="8" s="1"/>
  <c r="E58" i="8" a="1"/>
  <c r="E58" i="8" s="1"/>
  <c r="D58" i="8" a="1"/>
  <c r="D58" i="8" s="1"/>
  <c r="L57" i="8" a="1"/>
  <c r="L57" i="8" s="1"/>
  <c r="K57" i="8" a="1"/>
  <c r="K57" i="8" s="1"/>
  <c r="J57" i="8" a="1"/>
  <c r="J57" i="8" s="1"/>
  <c r="I57" i="8" a="1"/>
  <c r="I57" i="8" s="1"/>
  <c r="H57" i="8" a="1"/>
  <c r="H57" i="8" s="1"/>
  <c r="G57" i="8" a="1"/>
  <c r="G57" i="8" s="1"/>
  <c r="F57" i="8" a="1"/>
  <c r="F57" i="8" s="1"/>
  <c r="E57" i="8" a="1"/>
  <c r="E57" i="8" s="1"/>
  <c r="D57" i="8" a="1"/>
  <c r="D57" i="8" s="1"/>
  <c r="L56" i="8" a="1"/>
  <c r="L56" i="8" s="1"/>
  <c r="K56" i="8" a="1"/>
  <c r="K56" i="8" s="1"/>
  <c r="J56" i="8" a="1"/>
  <c r="J56" i="8" s="1"/>
  <c r="I56" i="8" a="1"/>
  <c r="I56" i="8" s="1"/>
  <c r="H56" i="8" a="1"/>
  <c r="H56" i="8" s="1"/>
  <c r="G56" i="8" a="1"/>
  <c r="G56" i="8" s="1"/>
  <c r="F56" i="8" a="1"/>
  <c r="F56" i="8" s="1"/>
  <c r="E56" i="8" a="1"/>
  <c r="E56" i="8" s="1"/>
  <c r="D56" i="8" a="1"/>
  <c r="D56" i="8" s="1"/>
  <c r="L55" i="8" a="1"/>
  <c r="L55" i="8" s="1"/>
  <c r="K55" i="8" a="1"/>
  <c r="K55" i="8" s="1"/>
  <c r="J55" i="8" a="1"/>
  <c r="J55" i="8" s="1"/>
  <c r="I55" i="8" a="1"/>
  <c r="I55" i="8" s="1"/>
  <c r="H55" i="8" a="1"/>
  <c r="H55" i="8" s="1"/>
  <c r="G55" i="8" a="1"/>
  <c r="G55" i="8" s="1"/>
  <c r="F55" i="8" a="1"/>
  <c r="F55" i="8" s="1"/>
  <c r="E55" i="8" a="1"/>
  <c r="E55" i="8" s="1"/>
  <c r="D55" i="8" a="1"/>
  <c r="D55" i="8" s="1"/>
  <c r="L54" i="8" a="1"/>
  <c r="L54" i="8" s="1"/>
  <c r="K54" i="8" a="1"/>
  <c r="K54" i="8" s="1"/>
  <c r="J54" i="8" a="1"/>
  <c r="J54" i="8" s="1"/>
  <c r="I54" i="8" a="1"/>
  <c r="I54" i="8" s="1"/>
  <c r="H54" i="8" a="1"/>
  <c r="H54" i="8" s="1"/>
  <c r="G54" i="8" a="1"/>
  <c r="G54" i="8" s="1"/>
  <c r="F54" i="8" a="1"/>
  <c r="F54" i="8" s="1"/>
  <c r="E54" i="8" a="1"/>
  <c r="E54" i="8" s="1"/>
  <c r="D54" i="8" a="1"/>
  <c r="D54" i="8" s="1"/>
  <c r="L110" i="8" a="1"/>
  <c r="L110" i="8" s="1"/>
  <c r="K110" i="8" a="1"/>
  <c r="K110" i="8" s="1"/>
  <c r="J110" i="8" a="1"/>
  <c r="J110" i="8" s="1"/>
  <c r="I110" i="8" a="1"/>
  <c r="I110" i="8" s="1"/>
  <c r="H110" i="8" a="1"/>
  <c r="H110" i="8" s="1"/>
  <c r="G110" i="8" a="1"/>
  <c r="G110" i="8" s="1"/>
  <c r="F110" i="8" a="1"/>
  <c r="F110" i="8" s="1"/>
  <c r="E110" i="8" a="1"/>
  <c r="E110" i="8" s="1"/>
  <c r="D110" i="8" a="1"/>
  <c r="D110" i="8" s="1"/>
  <c r="L102" i="8" a="1"/>
  <c r="L102" i="8" s="1"/>
  <c r="K102" i="8" a="1"/>
  <c r="K102" i="8" s="1"/>
  <c r="J102" i="8" a="1"/>
  <c r="J102" i="8" s="1"/>
  <c r="I102" i="8" a="1"/>
  <c r="I102" i="8" s="1"/>
  <c r="H102" i="8" a="1"/>
  <c r="H102" i="8" s="1"/>
  <c r="G102" i="8" a="1"/>
  <c r="G102" i="8" s="1"/>
  <c r="F102" i="8" a="1"/>
  <c r="F102" i="8" s="1"/>
  <c r="E102" i="8" a="1"/>
  <c r="E102" i="8" s="1"/>
  <c r="D102" i="8" a="1"/>
  <c r="D102" i="8" s="1"/>
  <c r="L94" i="8" a="1"/>
  <c r="L94" i="8" s="1"/>
  <c r="K94" i="8" a="1"/>
  <c r="K94" i="8" s="1"/>
  <c r="J94" i="8" a="1"/>
  <c r="J94" i="8" s="1"/>
  <c r="I94" i="8" a="1"/>
  <c r="I94" i="8" s="1"/>
  <c r="H94" i="8" a="1"/>
  <c r="H94" i="8" s="1"/>
  <c r="G94" i="8" a="1"/>
  <c r="G94" i="8" s="1"/>
  <c r="F94" i="8" a="1"/>
  <c r="F94" i="8" s="1"/>
  <c r="E94" i="8" a="1"/>
  <c r="E94" i="8" s="1"/>
  <c r="D94" i="8" a="1"/>
  <c r="D94" i="8" s="1"/>
  <c r="L85" i="8" a="1"/>
  <c r="L85" i="8" s="1"/>
  <c r="K85" i="8" a="1"/>
  <c r="K85" i="8" s="1"/>
  <c r="J85" i="8" a="1"/>
  <c r="J85" i="8" s="1"/>
  <c r="I85" i="8" a="1"/>
  <c r="I85" i="8" s="1"/>
  <c r="H85" i="8" a="1"/>
  <c r="H85" i="8" s="1"/>
  <c r="G85" i="8" a="1"/>
  <c r="G85" i="8" s="1"/>
  <c r="F85" i="8" a="1"/>
  <c r="F85" i="8" s="1"/>
  <c r="E85" i="8" a="1"/>
  <c r="E85" i="8" s="1"/>
  <c r="D85" i="8" a="1"/>
  <c r="D85" i="8" s="1"/>
  <c r="L77" i="8" a="1"/>
  <c r="L77" i="8" s="1"/>
  <c r="K77" i="8" a="1"/>
  <c r="K77" i="8" s="1"/>
  <c r="J77" i="8" a="1"/>
  <c r="J77" i="8" s="1"/>
  <c r="I77" i="8" a="1"/>
  <c r="I77" i="8" s="1"/>
  <c r="H77" i="8" a="1"/>
  <c r="H77" i="8" s="1"/>
  <c r="G77" i="8" a="1"/>
  <c r="G77" i="8" s="1"/>
  <c r="F77" i="8" a="1"/>
  <c r="F77" i="8" s="1"/>
  <c r="E77" i="8" a="1"/>
  <c r="E77" i="8" s="1"/>
  <c r="D77" i="8" a="1"/>
  <c r="D77" i="8" s="1"/>
  <c r="L69" i="8" a="1"/>
  <c r="L69" i="8" s="1"/>
  <c r="K69" i="8" a="1"/>
  <c r="K69" i="8" s="1"/>
  <c r="J69" i="8" a="1"/>
  <c r="J69" i="8" s="1"/>
  <c r="I69" i="8" a="1"/>
  <c r="I69" i="8" s="1"/>
  <c r="H69" i="8" a="1"/>
  <c r="H69" i="8" s="1"/>
  <c r="G69" i="8" a="1"/>
  <c r="G69" i="8" s="1"/>
  <c r="F69" i="8" a="1"/>
  <c r="F69" i="8" s="1"/>
  <c r="E69" i="8" a="1"/>
  <c r="E69" i="8" s="1"/>
  <c r="D69" i="8" a="1"/>
  <c r="D69" i="8" s="1"/>
  <c r="L61" i="8" a="1"/>
  <c r="L61" i="8" s="1"/>
  <c r="K61" i="8" a="1"/>
  <c r="K61" i="8" s="1"/>
  <c r="J61" i="8" a="1"/>
  <c r="J61" i="8" s="1"/>
  <c r="I61" i="8" a="1"/>
  <c r="I61" i="8" s="1"/>
  <c r="H61" i="8" a="1"/>
  <c r="H61" i="8" s="1"/>
  <c r="G61" i="8" a="1"/>
  <c r="G61" i="8" s="1"/>
  <c r="F61" i="8" a="1"/>
  <c r="F61" i="8" s="1"/>
  <c r="E61" i="8" a="1"/>
  <c r="E61" i="8" s="1"/>
  <c r="D61" i="8" a="1"/>
  <c r="D61" i="8" s="1"/>
  <c r="L53" i="8" a="1"/>
  <c r="L53" i="8" s="1"/>
  <c r="K53" i="8" a="1"/>
  <c r="K53" i="8" s="1"/>
  <c r="J53" i="8" a="1"/>
  <c r="J53" i="8" s="1"/>
  <c r="I53" i="8" a="1"/>
  <c r="I53" i="8" s="1"/>
  <c r="H53" i="8" a="1"/>
  <c r="H53" i="8" s="1"/>
  <c r="G53" i="8" a="1"/>
  <c r="G53" i="8" s="1"/>
  <c r="F53" i="8" a="1"/>
  <c r="F53" i="8" s="1"/>
  <c r="E53" i="8" a="1"/>
  <c r="E53" i="8" s="1"/>
  <c r="D53" i="8" a="1"/>
  <c r="D53" i="8" s="1"/>
  <c r="L52" i="8" a="1"/>
  <c r="L52" i="8" s="1"/>
  <c r="K52" i="8" a="1"/>
  <c r="K52" i="8" s="1"/>
  <c r="J52" i="8" a="1"/>
  <c r="J52" i="8" s="1"/>
  <c r="I52" i="8" a="1"/>
  <c r="I52" i="8" s="1"/>
  <c r="H52" i="8" a="1"/>
  <c r="H52" i="8" s="1"/>
  <c r="G52" i="8" a="1"/>
  <c r="G52" i="8" s="1"/>
  <c r="F52" i="8" a="1"/>
  <c r="F52" i="8" s="1"/>
  <c r="E52" i="8" a="1"/>
  <c r="E52" i="8" s="1"/>
  <c r="D52" i="8" a="1"/>
  <c r="D52" i="8" s="1"/>
  <c r="L51" i="8" a="1"/>
  <c r="L51" i="8" s="1"/>
  <c r="K51" i="8" a="1"/>
  <c r="K51" i="8" s="1"/>
  <c r="J51" i="8" a="1"/>
  <c r="J51" i="8" s="1"/>
  <c r="I51" i="8" a="1"/>
  <c r="I51" i="8" s="1"/>
  <c r="H51" i="8" a="1"/>
  <c r="H51" i="8" s="1"/>
  <c r="G51" i="8" a="1"/>
  <c r="G51" i="8" s="1"/>
  <c r="F51" i="8" a="1"/>
  <c r="F51" i="8" s="1"/>
  <c r="E51" i="8" a="1"/>
  <c r="E51" i="8" s="1"/>
  <c r="D51" i="8" a="1"/>
  <c r="D51" i="8" s="1"/>
  <c r="L50" i="8" a="1"/>
  <c r="L50" i="8" s="1"/>
  <c r="K50" i="8" a="1"/>
  <c r="K50" i="8" s="1"/>
  <c r="J50" i="8" a="1"/>
  <c r="J50" i="8" s="1"/>
  <c r="I50" i="8" a="1"/>
  <c r="I50" i="8" s="1"/>
  <c r="H50" i="8" a="1"/>
  <c r="H50" i="8" s="1"/>
  <c r="G50" i="8" a="1"/>
  <c r="G50" i="8" s="1"/>
  <c r="F50" i="8" a="1"/>
  <c r="F50" i="8" s="1"/>
  <c r="E50" i="8" a="1"/>
  <c r="E50" i="8" s="1"/>
  <c r="D50" i="8" a="1"/>
  <c r="D50" i="8" s="1"/>
  <c r="L49" i="8" a="1"/>
  <c r="L49" i="8" s="1"/>
  <c r="K49" i="8" a="1"/>
  <c r="K49" i="8" s="1"/>
  <c r="J49" i="8" a="1"/>
  <c r="J49" i="8" s="1"/>
  <c r="I49" i="8" a="1"/>
  <c r="I49" i="8" s="1"/>
  <c r="H49" i="8" a="1"/>
  <c r="H49" i="8" s="1"/>
  <c r="G49" i="8" a="1"/>
  <c r="G49" i="8" s="1"/>
  <c r="F49" i="8" a="1"/>
  <c r="F49" i="8" s="1"/>
  <c r="E49" i="8" a="1"/>
  <c r="E49" i="8" s="1"/>
  <c r="D49" i="8" a="1"/>
  <c r="D49" i="8" s="1"/>
  <c r="L48" i="8" a="1"/>
  <c r="L48" i="8" s="1"/>
  <c r="K48" i="8" a="1"/>
  <c r="K48" i="8" s="1"/>
  <c r="J48" i="8" a="1"/>
  <c r="J48" i="8" s="1"/>
  <c r="I48" i="8" a="1"/>
  <c r="I48" i="8" s="1"/>
  <c r="H48" i="8" a="1"/>
  <c r="H48" i="8" s="1"/>
  <c r="G48" i="8" a="1"/>
  <c r="G48" i="8" s="1"/>
  <c r="F48" i="8" a="1"/>
  <c r="F48" i="8" s="1"/>
  <c r="E48" i="8" a="1"/>
  <c r="E48" i="8" s="1"/>
  <c r="D48" i="8" a="1"/>
  <c r="D48" i="8" s="1"/>
  <c r="L47" i="8" a="1"/>
  <c r="L47" i="8" s="1"/>
  <c r="K47" i="8" a="1"/>
  <c r="K47" i="8" s="1"/>
  <c r="J47" i="8" a="1"/>
  <c r="J47" i="8" s="1"/>
  <c r="I47" i="8" a="1"/>
  <c r="I47" i="8" s="1"/>
  <c r="H47" i="8" a="1"/>
  <c r="H47" i="8" s="1"/>
  <c r="G47" i="8" a="1"/>
  <c r="G47" i="8" s="1"/>
  <c r="F47" i="8" a="1"/>
  <c r="F47" i="8" s="1"/>
  <c r="E47" i="8" a="1"/>
  <c r="E47" i="8" s="1"/>
  <c r="D47" i="8" a="1"/>
  <c r="D47" i="8" s="1"/>
  <c r="L46" i="8" a="1"/>
  <c r="L46" i="8" s="1"/>
  <c r="K46" i="8" a="1"/>
  <c r="K46" i="8" s="1"/>
  <c r="J46" i="8" a="1"/>
  <c r="J46" i="8" s="1"/>
  <c r="I46" i="8" a="1"/>
  <c r="I46" i="8" s="1"/>
  <c r="H46" i="8" a="1"/>
  <c r="H46" i="8" s="1"/>
  <c r="G46" i="8" a="1"/>
  <c r="G46" i="8" s="1"/>
  <c r="F46" i="8" a="1"/>
  <c r="F46" i="8" s="1"/>
  <c r="E46" i="8" a="1"/>
  <c r="E46" i="8" s="1"/>
  <c r="D46" i="8" a="1"/>
  <c r="D46" i="8" s="1"/>
  <c r="L45" i="8" a="1"/>
  <c r="L45" i="8" s="1"/>
  <c r="K45" i="8" a="1"/>
  <c r="K45" i="8" s="1"/>
  <c r="J45" i="8" a="1"/>
  <c r="J45" i="8" s="1"/>
  <c r="I45" i="8" a="1"/>
  <c r="I45" i="8" s="1"/>
  <c r="H45" i="8" a="1"/>
  <c r="H45" i="8" s="1"/>
  <c r="G45" i="8" a="1"/>
  <c r="G45" i="8" s="1"/>
  <c r="F45" i="8" a="1"/>
  <c r="F45" i="8" s="1"/>
  <c r="E45" i="8" a="1"/>
  <c r="E45" i="8" s="1"/>
  <c r="D45" i="8" a="1"/>
  <c r="D45" i="8" s="1"/>
  <c r="L44" i="8" a="1"/>
  <c r="L44" i="8" s="1"/>
  <c r="K44" i="8" a="1"/>
  <c r="K44" i="8" s="1"/>
  <c r="J44" i="8" a="1"/>
  <c r="J44" i="8" s="1"/>
  <c r="I44" i="8" a="1"/>
  <c r="I44" i="8" s="1"/>
  <c r="H44" i="8" a="1"/>
  <c r="H44" i="8" s="1"/>
  <c r="G44" i="8" a="1"/>
  <c r="G44" i="8" s="1"/>
  <c r="F44" i="8" a="1"/>
  <c r="F44" i="8" s="1"/>
  <c r="E44" i="8" a="1"/>
  <c r="E44" i="8" s="1"/>
  <c r="D44" i="8" a="1"/>
  <c r="D44" i="8" s="1"/>
  <c r="L43" i="8" a="1"/>
  <c r="L43" i="8" s="1"/>
  <c r="K43" i="8" a="1"/>
  <c r="K43" i="8" s="1"/>
  <c r="J43" i="8" a="1"/>
  <c r="J43" i="8" s="1"/>
  <c r="I43" i="8" a="1"/>
  <c r="I43" i="8" s="1"/>
  <c r="H43" i="8" a="1"/>
  <c r="H43" i="8" s="1"/>
  <c r="G43" i="8" a="1"/>
  <c r="G43" i="8" s="1"/>
  <c r="F43" i="8" a="1"/>
  <c r="F43" i="8" s="1"/>
  <c r="E43" i="8" a="1"/>
  <c r="E43" i="8" s="1"/>
  <c r="D43" i="8" a="1"/>
  <c r="D43" i="8" s="1"/>
  <c r="L42" i="8" a="1"/>
  <c r="L42" i="8" s="1"/>
  <c r="K42" i="8" a="1"/>
  <c r="K42" i="8" s="1"/>
  <c r="J42" i="8" a="1"/>
  <c r="J42" i="8" s="1"/>
  <c r="I42" i="8" a="1"/>
  <c r="I42" i="8" s="1"/>
  <c r="H42" i="8" a="1"/>
  <c r="H42" i="8" s="1"/>
  <c r="G42" i="8" a="1"/>
  <c r="G42" i="8" s="1"/>
  <c r="F42" i="8" a="1"/>
  <c r="F42" i="8" s="1"/>
  <c r="E42" i="8" a="1"/>
  <c r="E42" i="8" s="1"/>
  <c r="D42" i="8" a="1"/>
  <c r="D42" i="8" s="1"/>
  <c r="L41" i="8" a="1"/>
  <c r="L41" i="8" s="1"/>
  <c r="K41" i="8" a="1"/>
  <c r="K41" i="8" s="1"/>
  <c r="J41" i="8" a="1"/>
  <c r="J41" i="8" s="1"/>
  <c r="I41" i="8" a="1"/>
  <c r="I41" i="8" s="1"/>
  <c r="H41" i="8" a="1"/>
  <c r="H41" i="8" s="1"/>
  <c r="G41" i="8" a="1"/>
  <c r="G41" i="8" s="1"/>
  <c r="F41" i="8" a="1"/>
  <c r="F41" i="8" s="1"/>
  <c r="E41" i="8" a="1"/>
  <c r="E41" i="8" s="1"/>
  <c r="D41" i="8" a="1"/>
  <c r="D41" i="8" s="1"/>
  <c r="L40" i="8" a="1"/>
  <c r="L40" i="8" s="1"/>
  <c r="K40" i="8" a="1"/>
  <c r="K40" i="8" s="1"/>
  <c r="J40" i="8" a="1"/>
  <c r="J40" i="8" s="1"/>
  <c r="I40" i="8" a="1"/>
  <c r="I40" i="8" s="1"/>
  <c r="H40" i="8" a="1"/>
  <c r="H40" i="8" s="1"/>
  <c r="G40" i="8" a="1"/>
  <c r="G40" i="8" s="1"/>
  <c r="F40" i="8" a="1"/>
  <c r="F40" i="8" s="1"/>
  <c r="E40" i="8" a="1"/>
  <c r="E40" i="8" s="1"/>
  <c r="D40" i="8" a="1"/>
  <c r="D40" i="8" s="1"/>
  <c r="L39" i="8" a="1"/>
  <c r="L39" i="8" s="1"/>
  <c r="K39" i="8" a="1"/>
  <c r="K39" i="8" s="1"/>
  <c r="J39" i="8" a="1"/>
  <c r="J39" i="8" s="1"/>
  <c r="I39" i="8" a="1"/>
  <c r="I39" i="8" s="1"/>
  <c r="H39" i="8" a="1"/>
  <c r="H39" i="8" s="1"/>
  <c r="G39" i="8" a="1"/>
  <c r="G39" i="8" s="1"/>
  <c r="F39" i="8" a="1"/>
  <c r="F39" i="8" s="1"/>
  <c r="E39" i="8" a="1"/>
  <c r="E39" i="8" s="1"/>
  <c r="D39" i="8" a="1"/>
  <c r="D39" i="8" s="1"/>
  <c r="L38" i="8" a="1"/>
  <c r="L38" i="8" s="1"/>
  <c r="K38" i="8" a="1"/>
  <c r="K38" i="8" s="1"/>
  <c r="J38" i="8" a="1"/>
  <c r="J38" i="8" s="1"/>
  <c r="I38" i="8" a="1"/>
  <c r="I38" i="8" s="1"/>
  <c r="H38" i="8" a="1"/>
  <c r="H38" i="8" s="1"/>
  <c r="G38" i="8" a="1"/>
  <c r="G38" i="8" s="1"/>
  <c r="F38" i="8" a="1"/>
  <c r="F38" i="8" s="1"/>
  <c r="E38" i="8" a="1"/>
  <c r="E38" i="8" s="1"/>
  <c r="D38" i="8" a="1"/>
  <c r="D38" i="8" s="1"/>
  <c r="L37" i="8" a="1"/>
  <c r="L37" i="8" s="1"/>
  <c r="K37" i="8" a="1"/>
  <c r="K37" i="8" s="1"/>
  <c r="J37" i="8" a="1"/>
  <c r="J37" i="8" s="1"/>
  <c r="I37" i="8" a="1"/>
  <c r="I37" i="8" s="1"/>
  <c r="H37" i="8" a="1"/>
  <c r="H37" i="8" s="1"/>
  <c r="G37" i="8" a="1"/>
  <c r="G37" i="8" s="1"/>
  <c r="F37" i="8" a="1"/>
  <c r="F37" i="8" s="1"/>
  <c r="E37" i="8" a="1"/>
  <c r="E37" i="8" s="1"/>
  <c r="D37" i="8" a="1"/>
  <c r="D37" i="8" s="1"/>
  <c r="L36" i="8" a="1"/>
  <c r="L36" i="8" s="1"/>
  <c r="K36" i="8" a="1"/>
  <c r="K36" i="8" s="1"/>
  <c r="J36" i="8" a="1"/>
  <c r="J36" i="8" s="1"/>
  <c r="I36" i="8" a="1"/>
  <c r="I36" i="8" s="1"/>
  <c r="H36" i="8" a="1"/>
  <c r="H36" i="8" s="1"/>
  <c r="G36" i="8" a="1"/>
  <c r="G36" i="8" s="1"/>
  <c r="F36" i="8" a="1"/>
  <c r="F36" i="8" s="1"/>
  <c r="E36" i="8" a="1"/>
  <c r="E36" i="8" s="1"/>
  <c r="D36" i="8" a="1"/>
  <c r="D36" i="8" s="1"/>
  <c r="L35" i="8" a="1"/>
  <c r="L35" i="8" s="1"/>
  <c r="K35" i="8" a="1"/>
  <c r="K35" i="8" s="1"/>
  <c r="J35" i="8" a="1"/>
  <c r="J35" i="8" s="1"/>
  <c r="I35" i="8" a="1"/>
  <c r="I35" i="8" s="1"/>
  <c r="H35" i="8" a="1"/>
  <c r="H35" i="8" s="1"/>
  <c r="G35" i="8" a="1"/>
  <c r="G35" i="8" s="1"/>
  <c r="F35" i="8" a="1"/>
  <c r="F35" i="8" s="1"/>
  <c r="E35" i="8" a="1"/>
  <c r="E35" i="8" s="1"/>
  <c r="D35" i="8" a="1"/>
  <c r="D35" i="8" s="1"/>
  <c r="L34" i="8" a="1"/>
  <c r="L34" i="8" s="1"/>
  <c r="K34" i="8" a="1"/>
  <c r="K34" i="8" s="1"/>
  <c r="J34" i="8" a="1"/>
  <c r="J34" i="8" s="1"/>
  <c r="I34" i="8" a="1"/>
  <c r="I34" i="8" s="1"/>
  <c r="H34" i="8" a="1"/>
  <c r="H34" i="8" s="1"/>
  <c r="G34" i="8" a="1"/>
  <c r="G34" i="8" s="1"/>
  <c r="F34" i="8" a="1"/>
  <c r="F34" i="8" s="1"/>
  <c r="E34" i="8" a="1"/>
  <c r="E34" i="8" s="1"/>
  <c r="D34" i="8" a="1"/>
  <c r="D34" i="8" s="1"/>
  <c r="L33" i="8" a="1"/>
  <c r="L33" i="8" s="1"/>
  <c r="K33" i="8" a="1"/>
  <c r="K33" i="8" s="1"/>
  <c r="J33" i="8" a="1"/>
  <c r="J33" i="8" s="1"/>
  <c r="I33" i="8" a="1"/>
  <c r="I33" i="8" s="1"/>
  <c r="H33" i="8" a="1"/>
  <c r="H33" i="8" s="1"/>
  <c r="G33" i="8" a="1"/>
  <c r="G33" i="8" s="1"/>
  <c r="F33" i="8" a="1"/>
  <c r="F33" i="8" s="1"/>
  <c r="E33" i="8" a="1"/>
  <c r="E33" i="8" s="1"/>
  <c r="D33" i="8" a="1"/>
  <c r="D33" i="8" s="1"/>
  <c r="L32" i="8" a="1"/>
  <c r="L32" i="8" s="1"/>
  <c r="K32" i="8" a="1"/>
  <c r="K32" i="8" s="1"/>
  <c r="J32" i="8" a="1"/>
  <c r="J32" i="8" s="1"/>
  <c r="I32" i="8" a="1"/>
  <c r="I32" i="8" s="1"/>
  <c r="H32" i="8" a="1"/>
  <c r="H32" i="8" s="1"/>
  <c r="G32" i="8" a="1"/>
  <c r="G32" i="8" s="1"/>
  <c r="F32" i="8" a="1"/>
  <c r="F32" i="8" s="1"/>
  <c r="E32" i="8" a="1"/>
  <c r="E32" i="8" s="1"/>
  <c r="D32" i="8" a="1"/>
  <c r="D32" i="8" s="1"/>
  <c r="L31" i="8" a="1"/>
  <c r="L31" i="8" s="1"/>
  <c r="K31" i="8" a="1"/>
  <c r="K31" i="8" s="1"/>
  <c r="J31" i="8" a="1"/>
  <c r="J31" i="8" s="1"/>
  <c r="I31" i="8" a="1"/>
  <c r="I31" i="8" s="1"/>
  <c r="H31" i="8" a="1"/>
  <c r="H31" i="8" s="1"/>
  <c r="G31" i="8" a="1"/>
  <c r="G31" i="8" s="1"/>
  <c r="F31" i="8" a="1"/>
  <c r="F31" i="8" s="1"/>
  <c r="E31" i="8" a="1"/>
  <c r="E31" i="8" s="1"/>
  <c r="D31" i="8" a="1"/>
  <c r="D31" i="8" s="1"/>
  <c r="L30" i="8" a="1"/>
  <c r="L30" i="8" s="1"/>
  <c r="K30" i="8" a="1"/>
  <c r="K30" i="8" s="1"/>
  <c r="J30" i="8" a="1"/>
  <c r="J30" i="8" s="1"/>
  <c r="I30" i="8" a="1"/>
  <c r="I30" i="8" s="1"/>
  <c r="H30" i="8" a="1"/>
  <c r="H30" i="8" s="1"/>
  <c r="G30" i="8" a="1"/>
  <c r="G30" i="8" s="1"/>
  <c r="F30" i="8" a="1"/>
  <c r="F30" i="8" s="1"/>
  <c r="E30" i="8" a="1"/>
  <c r="E30" i="8" s="1"/>
  <c r="D30" i="8" a="1"/>
  <c r="D30" i="8" s="1"/>
  <c r="L29" i="8" a="1"/>
  <c r="L29" i="8" s="1"/>
  <c r="K29" i="8" a="1"/>
  <c r="K29" i="8" s="1"/>
  <c r="J29" i="8" a="1"/>
  <c r="J29" i="8" s="1"/>
  <c r="I29" i="8" a="1"/>
  <c r="I29" i="8" s="1"/>
  <c r="H29" i="8" a="1"/>
  <c r="H29" i="8" s="1"/>
  <c r="G29" i="8" a="1"/>
  <c r="G29" i="8" s="1"/>
  <c r="F29" i="8" a="1"/>
  <c r="F29" i="8" s="1"/>
  <c r="E29" i="8" a="1"/>
  <c r="E29" i="8" s="1"/>
  <c r="D29" i="8" a="1"/>
  <c r="D29" i="8" s="1"/>
  <c r="L28" i="8" a="1"/>
  <c r="L28" i="8" s="1"/>
  <c r="L27" i="8" a="1"/>
  <c r="L27" i="8" s="1"/>
  <c r="L26" i="8" a="1"/>
  <c r="L26" i="8" s="1"/>
  <c r="L25" i="8" a="1"/>
  <c r="L25" i="8" s="1"/>
  <c r="L24" i="8" a="1"/>
  <c r="L24" i="8" s="1"/>
  <c r="L23" i="8" a="1"/>
  <c r="L23" i="8" s="1"/>
  <c r="L22" i="8" a="1"/>
  <c r="L22" i="8" s="1"/>
  <c r="L21" i="8" a="1"/>
  <c r="L21" i="8" s="1"/>
  <c r="K28" i="8" a="1"/>
  <c r="K28" i="8" s="1"/>
  <c r="K27" i="8" a="1"/>
  <c r="K27" i="8" s="1"/>
  <c r="K26" i="8" a="1"/>
  <c r="K26" i="8" s="1"/>
  <c r="K25" i="8" a="1"/>
  <c r="K25" i="8" s="1"/>
  <c r="K24" i="8" a="1"/>
  <c r="K24" i="8" s="1"/>
  <c r="K23" i="8" a="1"/>
  <c r="K23" i="8" s="1"/>
  <c r="K22" i="8" a="1"/>
  <c r="K22" i="8" s="1"/>
  <c r="K21" i="8" a="1"/>
  <c r="K21" i="8" s="1"/>
  <c r="J28" i="8" a="1"/>
  <c r="J28" i="8" s="1"/>
  <c r="J27" i="8" a="1"/>
  <c r="J27" i="8" s="1"/>
  <c r="J26" i="8" a="1"/>
  <c r="J26" i="8" s="1"/>
  <c r="J25" i="8" a="1"/>
  <c r="J25" i="8" s="1"/>
  <c r="J24" i="8" a="1"/>
  <c r="J24" i="8" s="1"/>
  <c r="J23" i="8" a="1"/>
  <c r="J23" i="8" s="1"/>
  <c r="J22" i="8" a="1"/>
  <c r="J22" i="8" s="1"/>
  <c r="J21" i="8" a="1"/>
  <c r="J21" i="8" s="1"/>
  <c r="I21" i="8" a="1"/>
  <c r="I21" i="8" s="1"/>
  <c r="H21" i="8" a="1"/>
  <c r="H21" i="8" s="1"/>
  <c r="G21" i="8" a="1"/>
  <c r="G21" i="8" s="1"/>
  <c r="F21" i="8" a="1"/>
  <c r="F21" i="8" s="1"/>
  <c r="E21" i="8" a="1"/>
  <c r="E21" i="8" s="1"/>
  <c r="I27" i="8" a="1"/>
  <c r="I27" i="8" s="1"/>
  <c r="I28" i="8" a="1"/>
  <c r="I28" i="8" s="1"/>
  <c r="I26" i="8" a="1"/>
  <c r="I26" i="8" s="1"/>
  <c r="I25" i="8" a="1"/>
  <c r="I25" i="8" s="1"/>
  <c r="I24" i="8" a="1"/>
  <c r="I24" i="8" s="1"/>
  <c r="I23" i="8" a="1"/>
  <c r="I23" i="8" s="1"/>
  <c r="I22" i="8" a="1"/>
  <c r="I22" i="8" s="1"/>
  <c r="H28" i="8" a="1"/>
  <c r="H28" i="8" s="1"/>
  <c r="H27" i="8" a="1"/>
  <c r="H27" i="8" s="1"/>
  <c r="H26" i="8" a="1"/>
  <c r="H26" i="8" s="1"/>
  <c r="H25" i="8" a="1"/>
  <c r="H25" i="8" s="1"/>
  <c r="H24" i="8" a="1"/>
  <c r="H24" i="8" s="1"/>
  <c r="H23" i="8" a="1"/>
  <c r="H23" i="8" s="1"/>
  <c r="H22" i="8" a="1"/>
  <c r="H22" i="8" s="1"/>
  <c r="H20" i="8" a="1"/>
  <c r="H20" i="8" s="1"/>
  <c r="G26" i="8" a="1"/>
  <c r="G26" i="8" s="1"/>
  <c r="G22" i="8" a="1"/>
  <c r="G22" i="8" s="1"/>
  <c r="G27" i="8" a="1"/>
  <c r="G27" i="8" s="1"/>
  <c r="F27" i="8" a="1"/>
  <c r="F27" i="8" s="1"/>
  <c r="G28" i="8" a="1"/>
  <c r="G28" i="8" s="1"/>
  <c r="G25" i="8" a="1"/>
  <c r="G25" i="8" s="1"/>
  <c r="G24" i="8" a="1"/>
  <c r="G24" i="8" s="1"/>
  <c r="G23" i="8" a="1"/>
  <c r="G23" i="8" s="1"/>
  <c r="F28" i="8" a="1"/>
  <c r="F28" i="8" s="1"/>
  <c r="F26" i="8" a="1"/>
  <c r="F26" i="8" s="1"/>
  <c r="F25" i="8" a="1"/>
  <c r="F25" i="8" s="1"/>
  <c r="F24" i="8" a="1"/>
  <c r="F24" i="8" s="1"/>
  <c r="F23" i="8" a="1"/>
  <c r="F23" i="8" s="1"/>
  <c r="F22" i="8" a="1"/>
  <c r="F22" i="8" s="1"/>
  <c r="E27" i="8" a="1"/>
  <c r="E27" i="8" s="1"/>
  <c r="E28" i="8" a="1"/>
  <c r="E28" i="8" s="1"/>
  <c r="E26" i="8" a="1"/>
  <c r="E26" i="8" s="1"/>
  <c r="D26" i="8" a="1"/>
  <c r="D26" i="8" s="1"/>
  <c r="E25" i="8" a="1"/>
  <c r="E25" i="8" s="1"/>
  <c r="E24" i="8" a="1"/>
  <c r="E24" i="8" s="1"/>
  <c r="E23" i="8" a="1"/>
  <c r="E23" i="8" s="1"/>
  <c r="E22" i="8" a="1"/>
  <c r="E22" i="8" s="1"/>
  <c r="D22" i="8" a="1"/>
  <c r="D22" i="8" s="1"/>
  <c r="D28" i="8" a="1"/>
  <c r="D28" i="8" s="1"/>
  <c r="D25" i="8" a="1"/>
  <c r="D25" i="8" s="1"/>
  <c r="D21" i="8" a="1"/>
  <c r="D21" i="8" s="1"/>
  <c r="D23" i="8" a="1"/>
  <c r="D23" i="8" s="1"/>
  <c r="D24" i="8" a="1"/>
  <c r="D24" i="8" s="1"/>
  <c r="L20" i="8" a="1"/>
  <c r="L20" i="8" s="1"/>
  <c r="K20" i="8" a="1"/>
  <c r="K20" i="8" s="1"/>
  <c r="J20" i="8" a="1"/>
  <c r="J20" i="8" s="1"/>
  <c r="I20" i="8" a="1"/>
  <c r="I20" i="8" s="1"/>
  <c r="G20" i="8" a="1"/>
  <c r="G20" i="8" s="1"/>
  <c r="F20" i="8" a="1"/>
  <c r="F20" i="8" s="1"/>
  <c r="E20" i="8" a="1"/>
  <c r="E20" i="8" s="1"/>
  <c r="F4" i="8" a="1"/>
  <c r="F4" i="8" s="1"/>
  <c r="K46" i="5" a="1"/>
  <c r="K46" i="5" s="1"/>
  <c r="K45" i="5" a="1"/>
  <c r="K45" i="5" s="1"/>
  <c r="C27" i="3" a="1"/>
  <c r="C27" i="3" s="1"/>
  <c r="R34" i="3" a="1"/>
  <c r="R34" i="3" s="1"/>
  <c r="X27" i="6" s="1"/>
  <c r="R35" i="3" a="1"/>
  <c r="R35" i="3" s="1"/>
  <c r="X28" i="6" s="1"/>
  <c r="O35" i="3" a="1"/>
  <c r="O35" i="3" s="1"/>
  <c r="O34" i="3" a="1"/>
  <c r="O34" i="3" s="1"/>
  <c r="N35" i="3" a="1"/>
  <c r="N35" i="3" s="1"/>
  <c r="N34" i="3" a="1"/>
  <c r="N34" i="3" s="1"/>
  <c r="M35" i="3" a="1"/>
  <c r="M35" i="3" s="1"/>
  <c r="M34" i="3" a="1"/>
  <c r="M34" i="3" s="1"/>
  <c r="L35" i="3" a="1"/>
  <c r="L35" i="3" s="1"/>
  <c r="L34" i="3" a="1"/>
  <c r="L34" i="3" s="1"/>
  <c r="J35" i="3" a="1"/>
  <c r="J35" i="3" s="1"/>
  <c r="J34" i="3" a="1"/>
  <c r="J34" i="3" s="1"/>
  <c r="I35" i="3" a="1"/>
  <c r="I35" i="3" s="1"/>
  <c r="I34" i="3" a="1"/>
  <c r="I34" i="3" s="1"/>
  <c r="H35" i="3" a="1"/>
  <c r="H35" i="3" s="1"/>
  <c r="H34" i="3" a="1"/>
  <c r="H34" i="3" s="1"/>
  <c r="G35" i="3" a="1"/>
  <c r="G35" i="3" s="1"/>
  <c r="G34" i="3" a="1"/>
  <c r="G34" i="3" s="1"/>
  <c r="F35" i="3" a="1"/>
  <c r="F35" i="3" s="1"/>
  <c r="F34" i="3" a="1"/>
  <c r="F34" i="3" s="1"/>
  <c r="E35" i="3" a="1"/>
  <c r="E35" i="3" s="1"/>
  <c r="E34" i="3" a="1"/>
  <c r="E34" i="3" s="1"/>
  <c r="D35" i="3" a="1"/>
  <c r="D35" i="3" s="1"/>
  <c r="D34" i="3" a="1"/>
  <c r="D34" i="3" s="1"/>
  <c r="C35" i="3" a="1"/>
  <c r="C35" i="3" s="1"/>
  <c r="C34" i="3" a="1"/>
  <c r="C34" i="3" s="1"/>
  <c r="R27" i="3" a="1"/>
  <c r="R27" i="3" s="1"/>
  <c r="O27" i="3" a="1"/>
  <c r="O27" i="3" s="1"/>
  <c r="L27" i="3" a="1"/>
  <c r="L27" i="3" s="1"/>
  <c r="N27" i="3" a="1"/>
  <c r="N27" i="3" s="1"/>
  <c r="M27" i="3" a="1"/>
  <c r="M27" i="3" s="1"/>
  <c r="J27" i="3" a="1"/>
  <c r="J27" i="3" s="1"/>
  <c r="I27" i="3" a="1"/>
  <c r="I27" i="3" s="1"/>
  <c r="H27" i="3" a="1"/>
  <c r="H27" i="3" s="1"/>
  <c r="G27" i="3" a="1"/>
  <c r="G27" i="3" s="1"/>
  <c r="F27" i="3" a="1"/>
  <c r="F27" i="3" s="1"/>
  <c r="E27" i="3" a="1"/>
  <c r="E27" i="3" s="1"/>
  <c r="D27" i="3" a="1"/>
  <c r="D27" i="3" s="1"/>
  <c r="P75" i="5" a="1"/>
  <c r="P75" i="5" s="1"/>
  <c r="O75" i="5" a="1"/>
  <c r="O75" i="5" s="1"/>
  <c r="N75" i="5" a="1"/>
  <c r="N75" i="5" s="1"/>
  <c r="M75" i="5" a="1"/>
  <c r="M75" i="5" s="1"/>
  <c r="K75" i="5" a="1"/>
  <c r="K75" i="5" s="1"/>
  <c r="J75" i="5" a="1"/>
  <c r="J75" i="5" s="1"/>
  <c r="I75" i="5" a="1"/>
  <c r="I75" i="5" s="1"/>
  <c r="H75" i="5" a="1"/>
  <c r="H75" i="5" s="1"/>
  <c r="G75" i="5" a="1"/>
  <c r="G75" i="5" s="1"/>
  <c r="F75" i="5" a="1"/>
  <c r="F75" i="5" s="1"/>
  <c r="E75" i="5" a="1"/>
  <c r="E75" i="5" s="1"/>
  <c r="P74" i="5" a="1"/>
  <c r="P74" i="5" s="1"/>
  <c r="O74" i="5" a="1"/>
  <c r="O74" i="5" s="1"/>
  <c r="N74" i="5" a="1"/>
  <c r="N74" i="5" s="1"/>
  <c r="M74" i="5" a="1"/>
  <c r="M74" i="5" s="1"/>
  <c r="K74" i="5" a="1"/>
  <c r="K74" i="5" s="1"/>
  <c r="J74" i="5" a="1"/>
  <c r="J74" i="5" s="1"/>
  <c r="I74" i="5" a="1"/>
  <c r="I74" i="5" s="1"/>
  <c r="H74" i="5" a="1"/>
  <c r="H74" i="5" s="1"/>
  <c r="G74" i="5" a="1"/>
  <c r="G74" i="5" s="1"/>
  <c r="F74" i="5" a="1"/>
  <c r="F74" i="5" s="1"/>
  <c r="E74" i="5" a="1"/>
  <c r="E74" i="5" s="1"/>
  <c r="D74" i="5" a="1"/>
  <c r="D74" i="5" s="1"/>
  <c r="D73" i="5" a="1"/>
  <c r="D73" i="5" s="1"/>
  <c r="D75" i="5" a="1"/>
  <c r="D75" i="5" s="1"/>
  <c r="O7" i="5" a="1"/>
  <c r="O7" i="5" s="1"/>
  <c r="K113" i="5" a="1"/>
  <c r="K113" i="5" s="1"/>
  <c r="J113" i="5" a="1"/>
  <c r="J113" i="5" s="1"/>
  <c r="I113" i="5" a="1"/>
  <c r="I113" i="5" s="1"/>
  <c r="H113" i="5" a="1"/>
  <c r="H113" i="5" s="1"/>
  <c r="H115" i="5" s="1"/>
  <c r="G113" i="5" a="1"/>
  <c r="G113" i="5" s="1"/>
  <c r="F113" i="5" a="1"/>
  <c r="F113" i="5" s="1"/>
  <c r="E113" i="5" a="1"/>
  <c r="E113" i="5" s="1"/>
  <c r="D113" i="5" a="1"/>
  <c r="D113" i="5" s="1"/>
  <c r="K111" i="5" a="1"/>
  <c r="K111" i="5" s="1"/>
  <c r="J111" i="5" a="1"/>
  <c r="J111" i="5" s="1"/>
  <c r="I111" i="5" a="1"/>
  <c r="I111" i="5" s="1"/>
  <c r="H111" i="5" a="1"/>
  <c r="H111" i="5" s="1"/>
  <c r="G111" i="5" a="1"/>
  <c r="G111" i="5" s="1"/>
  <c r="F111" i="5" a="1"/>
  <c r="F111" i="5" s="1"/>
  <c r="E111" i="5" a="1"/>
  <c r="E111" i="5" s="1"/>
  <c r="D111" i="5" a="1"/>
  <c r="D111" i="5" s="1"/>
  <c r="K110" i="5" a="1"/>
  <c r="K110" i="5" s="1"/>
  <c r="J110" i="5" a="1"/>
  <c r="J110" i="5" s="1"/>
  <c r="I110" i="5" a="1"/>
  <c r="I110" i="5" s="1"/>
  <c r="H110" i="5" a="1"/>
  <c r="H110" i="5" s="1"/>
  <c r="G110" i="5" a="1"/>
  <c r="G110" i="5" s="1"/>
  <c r="F110" i="5" a="1"/>
  <c r="F110" i="5" s="1"/>
  <c r="E110" i="5" a="1"/>
  <c r="E110" i="5" s="1"/>
  <c r="D110" i="5" a="1"/>
  <c r="D110" i="5" s="1"/>
  <c r="K109" i="5" a="1"/>
  <c r="K109" i="5" s="1"/>
  <c r="J109" i="5" a="1"/>
  <c r="J109" i="5" s="1"/>
  <c r="I109" i="5" a="1"/>
  <c r="I109" i="5" s="1"/>
  <c r="H109" i="5" a="1"/>
  <c r="H109" i="5" s="1"/>
  <c r="G109" i="5" a="1"/>
  <c r="G109" i="5" s="1"/>
  <c r="F109" i="5" a="1"/>
  <c r="F109" i="5" s="1"/>
  <c r="E109" i="5" a="1"/>
  <c r="E109" i="5" s="1"/>
  <c r="D109" i="5" a="1"/>
  <c r="D109" i="5" s="1"/>
  <c r="K107" i="5" a="1"/>
  <c r="K107" i="5" s="1"/>
  <c r="J107" i="5" a="1"/>
  <c r="J107" i="5" s="1"/>
  <c r="I107" i="5" a="1"/>
  <c r="I107" i="5" s="1"/>
  <c r="H107" i="5" a="1"/>
  <c r="H107" i="5" s="1"/>
  <c r="G107" i="5" a="1"/>
  <c r="G107" i="5" s="1"/>
  <c r="F107" i="5" a="1"/>
  <c r="F107" i="5" s="1"/>
  <c r="E107" i="5" a="1"/>
  <c r="E107" i="5" s="1"/>
  <c r="D107" i="5" a="1"/>
  <c r="D107" i="5" s="1"/>
  <c r="K106" i="5" a="1"/>
  <c r="K106" i="5" s="1"/>
  <c r="J106" i="5" a="1"/>
  <c r="J106" i="5" s="1"/>
  <c r="I106" i="5" a="1"/>
  <c r="I106" i="5" s="1"/>
  <c r="H106" i="5" a="1"/>
  <c r="H106" i="5" s="1"/>
  <c r="G106" i="5" a="1"/>
  <c r="G106" i="5" s="1"/>
  <c r="F106" i="5" a="1"/>
  <c r="F106" i="5" s="1"/>
  <c r="E106" i="5" a="1"/>
  <c r="E106" i="5" s="1"/>
  <c r="D106" i="5" a="1"/>
  <c r="D106" i="5" s="1"/>
  <c r="D108" i="5" s="1"/>
  <c r="K105" i="5" a="1"/>
  <c r="K105" i="5" s="1"/>
  <c r="J105" i="5" a="1"/>
  <c r="J105" i="5" s="1"/>
  <c r="I105" i="5" a="1"/>
  <c r="I105" i="5" s="1"/>
  <c r="H105" i="5" a="1"/>
  <c r="H105" i="5" s="1"/>
  <c r="G105" i="5" a="1"/>
  <c r="G105" i="5" s="1"/>
  <c r="F105" i="5" a="1"/>
  <c r="F105" i="5" s="1"/>
  <c r="E105" i="5" a="1"/>
  <c r="E105" i="5" s="1"/>
  <c r="D105" i="5" a="1"/>
  <c r="D105" i="5" s="1"/>
  <c r="K103" i="5" a="1"/>
  <c r="K103" i="5" s="1"/>
  <c r="J103" i="5" a="1"/>
  <c r="J103" i="5" s="1"/>
  <c r="I103" i="5" a="1"/>
  <c r="I103" i="5" s="1"/>
  <c r="H103" i="5" a="1"/>
  <c r="H103" i="5" s="1"/>
  <c r="G103" i="5" a="1"/>
  <c r="G103" i="5" s="1"/>
  <c r="F103" i="5" a="1"/>
  <c r="F103" i="5" s="1"/>
  <c r="E103" i="5" a="1"/>
  <c r="E103" i="5" s="1"/>
  <c r="D103" i="5" a="1"/>
  <c r="D103" i="5" s="1"/>
  <c r="K102" i="5" a="1"/>
  <c r="K102" i="5" s="1"/>
  <c r="J102" i="5" a="1"/>
  <c r="J102" i="5" s="1"/>
  <c r="I102" i="5" a="1"/>
  <c r="I102" i="5" s="1"/>
  <c r="H102" i="5" a="1"/>
  <c r="H102" i="5" s="1"/>
  <c r="G102" i="5" a="1"/>
  <c r="G102" i="5" s="1"/>
  <c r="F102" i="5" a="1"/>
  <c r="F102" i="5" s="1"/>
  <c r="E102" i="5" a="1"/>
  <c r="E102" i="5" s="1"/>
  <c r="D102" i="5" a="1"/>
  <c r="D102" i="5" s="1"/>
  <c r="K101" i="5" a="1"/>
  <c r="K101" i="5" s="1"/>
  <c r="J101" i="5" a="1"/>
  <c r="J101" i="5" s="1"/>
  <c r="I101" i="5" a="1"/>
  <c r="I101" i="5" s="1"/>
  <c r="H101" i="5" a="1"/>
  <c r="H101" i="5" s="1"/>
  <c r="G101" i="5" a="1"/>
  <c r="G101" i="5" s="1"/>
  <c r="F101" i="5" a="1"/>
  <c r="F101" i="5" s="1"/>
  <c r="E101" i="5" a="1"/>
  <c r="E101" i="5" s="1"/>
  <c r="D101" i="5" a="1"/>
  <c r="D101" i="5" s="1"/>
  <c r="K99" i="5" a="1"/>
  <c r="K99" i="5" s="1"/>
  <c r="J99" i="5" a="1"/>
  <c r="J99" i="5" s="1"/>
  <c r="I99" i="5" a="1"/>
  <c r="I99" i="5" s="1"/>
  <c r="H99" i="5" a="1"/>
  <c r="H99" i="5" s="1"/>
  <c r="G99" i="5" a="1"/>
  <c r="G99" i="5" s="1"/>
  <c r="F99" i="5" a="1"/>
  <c r="F99" i="5" s="1"/>
  <c r="E99" i="5" a="1"/>
  <c r="E99" i="5" s="1"/>
  <c r="D99" i="5" a="1"/>
  <c r="D99" i="5" s="1"/>
  <c r="K98" i="5" a="1"/>
  <c r="K98" i="5" s="1"/>
  <c r="J98" i="5" a="1"/>
  <c r="J98" i="5" s="1"/>
  <c r="I98" i="5" a="1"/>
  <c r="I98" i="5" s="1"/>
  <c r="H98" i="5" a="1"/>
  <c r="H98" i="5" s="1"/>
  <c r="G98" i="5" a="1"/>
  <c r="G98" i="5" s="1"/>
  <c r="F98" i="5" a="1"/>
  <c r="F98" i="5" s="1"/>
  <c r="E98" i="5" a="1"/>
  <c r="E98" i="5" s="1"/>
  <c r="D98" i="5" a="1"/>
  <c r="D98" i="5" s="1"/>
  <c r="K97" i="5" a="1"/>
  <c r="K97" i="5" s="1"/>
  <c r="J97" i="5" a="1"/>
  <c r="J97" i="5" s="1"/>
  <c r="I97" i="5" a="1"/>
  <c r="I97" i="5" s="1"/>
  <c r="H97" i="5" a="1"/>
  <c r="H97" i="5" s="1"/>
  <c r="G97" i="5" a="1"/>
  <c r="G97" i="5" s="1"/>
  <c r="F97" i="5" a="1"/>
  <c r="F97" i="5" s="1"/>
  <c r="E97" i="5" a="1"/>
  <c r="E97" i="5" s="1"/>
  <c r="D97" i="5" a="1"/>
  <c r="D97" i="5" s="1"/>
  <c r="K95" i="5" a="1"/>
  <c r="K95" i="5" s="1"/>
  <c r="J95" i="5" a="1"/>
  <c r="J95" i="5" s="1"/>
  <c r="I95" i="5" a="1"/>
  <c r="I95" i="5" s="1"/>
  <c r="H95" i="5" a="1"/>
  <c r="H95" i="5" s="1"/>
  <c r="G95" i="5" a="1"/>
  <c r="G95" i="5" s="1"/>
  <c r="F95" i="5" a="1"/>
  <c r="F95" i="5" s="1"/>
  <c r="E95" i="5" a="1"/>
  <c r="E95" i="5" s="1"/>
  <c r="D95" i="5" a="1"/>
  <c r="D95" i="5" s="1"/>
  <c r="K94" i="5" a="1"/>
  <c r="K94" i="5" s="1"/>
  <c r="J94" i="5" a="1"/>
  <c r="J94" i="5" s="1"/>
  <c r="I94" i="5" a="1"/>
  <c r="I94" i="5" s="1"/>
  <c r="H94" i="5" a="1"/>
  <c r="H94" i="5" s="1"/>
  <c r="G94" i="5" a="1"/>
  <c r="G94" i="5" s="1"/>
  <c r="F94" i="5" a="1"/>
  <c r="F94" i="5" s="1"/>
  <c r="E94" i="5" a="1"/>
  <c r="E94" i="5" s="1"/>
  <c r="D94" i="5" a="1"/>
  <c r="D94" i="5" s="1"/>
  <c r="D96" i="5" s="1"/>
  <c r="K93" i="5" a="1"/>
  <c r="K93" i="5" s="1"/>
  <c r="J93" i="5" a="1"/>
  <c r="J93" i="5" s="1"/>
  <c r="I93" i="5" a="1"/>
  <c r="I93" i="5" s="1"/>
  <c r="H93" i="5" a="1"/>
  <c r="H93" i="5" s="1"/>
  <c r="G93" i="5" a="1"/>
  <c r="G93" i="5" s="1"/>
  <c r="F93" i="5" a="1"/>
  <c r="F93" i="5" s="1"/>
  <c r="E93" i="5" a="1"/>
  <c r="E93" i="5" s="1"/>
  <c r="D93" i="5" a="1"/>
  <c r="D93" i="5" s="1"/>
  <c r="K91" i="5" a="1"/>
  <c r="K91" i="5" s="1"/>
  <c r="J91" i="5" a="1"/>
  <c r="J91" i="5" s="1"/>
  <c r="I91" i="5" a="1"/>
  <c r="I91" i="5" s="1"/>
  <c r="H91" i="5" a="1"/>
  <c r="H91" i="5" s="1"/>
  <c r="G91" i="5" a="1"/>
  <c r="G91" i="5" s="1"/>
  <c r="F91" i="5" a="1"/>
  <c r="F91" i="5" s="1"/>
  <c r="E91" i="5" a="1"/>
  <c r="E91" i="5" s="1"/>
  <c r="D91" i="5" a="1"/>
  <c r="D91" i="5" s="1"/>
  <c r="K90" i="5" a="1"/>
  <c r="K90" i="5" s="1"/>
  <c r="J90" i="5" a="1"/>
  <c r="J90" i="5" s="1"/>
  <c r="I90" i="5" a="1"/>
  <c r="I90" i="5" s="1"/>
  <c r="H90" i="5" a="1"/>
  <c r="H90" i="5" s="1"/>
  <c r="G90" i="5" a="1"/>
  <c r="G90" i="5" s="1"/>
  <c r="F90" i="5" a="1"/>
  <c r="F90" i="5" s="1"/>
  <c r="E90" i="5" a="1"/>
  <c r="E90" i="5" s="1"/>
  <c r="D90" i="5" a="1"/>
  <c r="D90" i="5" s="1"/>
  <c r="K89" i="5" a="1"/>
  <c r="K89" i="5" s="1"/>
  <c r="J89" i="5" a="1"/>
  <c r="J89" i="5" s="1"/>
  <c r="I89" i="5" a="1"/>
  <c r="I89" i="5" s="1"/>
  <c r="H89" i="5" a="1"/>
  <c r="H89" i="5" s="1"/>
  <c r="G89" i="5" a="1"/>
  <c r="G89" i="5" s="1"/>
  <c r="F89" i="5" a="1"/>
  <c r="F89" i="5" s="1"/>
  <c r="E89" i="5" a="1"/>
  <c r="E89" i="5" s="1"/>
  <c r="D89" i="5" a="1"/>
  <c r="D89" i="5" s="1"/>
  <c r="K87" i="5" a="1"/>
  <c r="K87" i="5" s="1"/>
  <c r="J87" i="5" a="1"/>
  <c r="J87" i="5" s="1"/>
  <c r="I87" i="5" a="1"/>
  <c r="I87" i="5" s="1"/>
  <c r="H87" i="5" a="1"/>
  <c r="H87" i="5" s="1"/>
  <c r="G87" i="5" a="1"/>
  <c r="G87" i="5" s="1"/>
  <c r="F87" i="5" a="1"/>
  <c r="F87" i="5" s="1"/>
  <c r="E87" i="5" a="1"/>
  <c r="E87" i="5" s="1"/>
  <c r="D87" i="5" a="1"/>
  <c r="D87" i="5" s="1"/>
  <c r="K86" i="5" a="1"/>
  <c r="K86" i="5" s="1"/>
  <c r="J86" i="5" a="1"/>
  <c r="J86" i="5" s="1"/>
  <c r="I86" i="5" a="1"/>
  <c r="I86" i="5" s="1"/>
  <c r="H86" i="5" a="1"/>
  <c r="H86" i="5" s="1"/>
  <c r="H88" i="5" s="1"/>
  <c r="G86" i="5" a="1"/>
  <c r="G86" i="5" s="1"/>
  <c r="F86" i="5" a="1"/>
  <c r="F86" i="5" s="1"/>
  <c r="E86" i="5" a="1"/>
  <c r="E86" i="5" s="1"/>
  <c r="D86" i="5" a="1"/>
  <c r="D86" i="5" s="1"/>
  <c r="K85" i="5" a="1"/>
  <c r="K85" i="5" s="1"/>
  <c r="J85" i="5" a="1"/>
  <c r="J85" i="5" s="1"/>
  <c r="I85" i="5" a="1"/>
  <c r="I85" i="5" s="1"/>
  <c r="H85" i="5" a="1"/>
  <c r="H85" i="5" s="1"/>
  <c r="G85" i="5" a="1"/>
  <c r="G85" i="5" s="1"/>
  <c r="F85" i="5" a="1"/>
  <c r="F85" i="5" s="1"/>
  <c r="E85" i="5" a="1"/>
  <c r="E85" i="5" s="1"/>
  <c r="D85" i="5" a="1"/>
  <c r="D85" i="5" s="1"/>
  <c r="K83" i="5" a="1"/>
  <c r="K83" i="5" s="1"/>
  <c r="J83" i="5" a="1"/>
  <c r="J83" i="5" s="1"/>
  <c r="I83" i="5" a="1"/>
  <c r="I83" i="5" s="1"/>
  <c r="H83" i="5" a="1"/>
  <c r="H83" i="5" s="1"/>
  <c r="G83" i="5" a="1"/>
  <c r="G83" i="5" s="1"/>
  <c r="F83" i="5" a="1"/>
  <c r="F83" i="5" s="1"/>
  <c r="E83" i="5" a="1"/>
  <c r="E83" i="5" s="1"/>
  <c r="D83" i="5" a="1"/>
  <c r="D83" i="5" s="1"/>
  <c r="K82" i="5" a="1"/>
  <c r="K82" i="5" s="1"/>
  <c r="J82" i="5" a="1"/>
  <c r="J82" i="5" s="1"/>
  <c r="I82" i="5" a="1"/>
  <c r="I82" i="5" s="1"/>
  <c r="I84" i="5" s="1"/>
  <c r="H82" i="5" a="1"/>
  <c r="H82" i="5" s="1"/>
  <c r="G82" i="5" a="1"/>
  <c r="G82" i="5" s="1"/>
  <c r="G84" i="5" s="1"/>
  <c r="F82" i="5" a="1"/>
  <c r="F82" i="5" s="1"/>
  <c r="E82" i="5" a="1"/>
  <c r="E82" i="5" s="1"/>
  <c r="D82" i="5" a="1"/>
  <c r="D82" i="5" s="1"/>
  <c r="K81" i="5" a="1"/>
  <c r="K81" i="5" s="1"/>
  <c r="J81" i="5" a="1"/>
  <c r="J81" i="5" s="1"/>
  <c r="I81" i="5" a="1"/>
  <c r="I81" i="5" s="1"/>
  <c r="H81" i="5" a="1"/>
  <c r="H81" i="5" s="1"/>
  <c r="G81" i="5" a="1"/>
  <c r="G81" i="5" s="1"/>
  <c r="F81" i="5" a="1"/>
  <c r="F81" i="5" s="1"/>
  <c r="E81" i="5" a="1"/>
  <c r="E81" i="5" s="1"/>
  <c r="D81" i="5" a="1"/>
  <c r="D81" i="5" s="1"/>
  <c r="K79" i="5" a="1"/>
  <c r="K79" i="5" s="1"/>
  <c r="J79" i="5" a="1"/>
  <c r="J79" i="5" s="1"/>
  <c r="I79" i="5" a="1"/>
  <c r="I79" i="5" s="1"/>
  <c r="H79" i="5" a="1"/>
  <c r="H79" i="5" s="1"/>
  <c r="G79" i="5" a="1"/>
  <c r="G79" i="5" s="1"/>
  <c r="F79" i="5" a="1"/>
  <c r="F79" i="5" s="1"/>
  <c r="E79" i="5" a="1"/>
  <c r="E79" i="5" s="1"/>
  <c r="D79" i="5" a="1"/>
  <c r="D79" i="5" s="1"/>
  <c r="K78" i="5" a="1"/>
  <c r="K78" i="5" s="1"/>
  <c r="J78" i="5" a="1"/>
  <c r="J78" i="5" s="1"/>
  <c r="I78" i="5" a="1"/>
  <c r="I78" i="5" s="1"/>
  <c r="H78" i="5" a="1"/>
  <c r="H78" i="5" s="1"/>
  <c r="G78" i="5" a="1"/>
  <c r="G78" i="5" s="1"/>
  <c r="G80" i="5" s="1"/>
  <c r="F78" i="5" a="1"/>
  <c r="F78" i="5" s="1"/>
  <c r="E78" i="5" a="1"/>
  <c r="E78" i="5" s="1"/>
  <c r="D78" i="5" a="1"/>
  <c r="D78" i="5" s="1"/>
  <c r="K77" i="5" a="1"/>
  <c r="K77" i="5" s="1"/>
  <c r="J77" i="5" a="1"/>
  <c r="J77" i="5" s="1"/>
  <c r="I77" i="5" a="1"/>
  <c r="I77" i="5" s="1"/>
  <c r="H77" i="5" a="1"/>
  <c r="H77" i="5" s="1"/>
  <c r="G77" i="5" a="1"/>
  <c r="G77" i="5" s="1"/>
  <c r="F77" i="5" a="1"/>
  <c r="F77" i="5" s="1"/>
  <c r="E77" i="5" a="1"/>
  <c r="E77" i="5" s="1"/>
  <c r="D77" i="5" a="1"/>
  <c r="D77" i="5" s="1"/>
  <c r="K73" i="5" a="1"/>
  <c r="K73" i="5" s="1"/>
  <c r="J73" i="5" a="1"/>
  <c r="J73" i="5" s="1"/>
  <c r="I73" i="5" a="1"/>
  <c r="I73" i="5" s="1"/>
  <c r="H73" i="5" a="1"/>
  <c r="H73" i="5" s="1"/>
  <c r="G73" i="5" a="1"/>
  <c r="G73" i="5" s="1"/>
  <c r="F73" i="5" a="1"/>
  <c r="F73" i="5" s="1"/>
  <c r="E73" i="5" a="1"/>
  <c r="E73" i="5" s="1"/>
  <c r="K71" i="5" a="1"/>
  <c r="K71" i="5" s="1"/>
  <c r="J71" i="5" a="1"/>
  <c r="J71" i="5" s="1"/>
  <c r="I71" i="5" a="1"/>
  <c r="I71" i="5" s="1"/>
  <c r="H71" i="5" a="1"/>
  <c r="H71" i="5" s="1"/>
  <c r="G71" i="5" a="1"/>
  <c r="G71" i="5" s="1"/>
  <c r="F71" i="5" a="1"/>
  <c r="F71" i="5" s="1"/>
  <c r="E71" i="5" a="1"/>
  <c r="E71" i="5" s="1"/>
  <c r="D71" i="5" a="1"/>
  <c r="D71" i="5" s="1"/>
  <c r="K70" i="5" a="1"/>
  <c r="K70" i="5" s="1"/>
  <c r="J70" i="5" a="1"/>
  <c r="J70" i="5" s="1"/>
  <c r="I70" i="5" a="1"/>
  <c r="I70" i="5" s="1"/>
  <c r="I72" i="5" s="1"/>
  <c r="H70" i="5" a="1"/>
  <c r="H70" i="5" s="1"/>
  <c r="H72" i="5" s="1"/>
  <c r="G70" i="5" a="1"/>
  <c r="G70" i="5" s="1"/>
  <c r="F70" i="5" a="1"/>
  <c r="F70" i="5" s="1"/>
  <c r="E70" i="5" a="1"/>
  <c r="E70" i="5" s="1"/>
  <c r="E72" i="5" s="1"/>
  <c r="D70" i="5" a="1"/>
  <c r="D70" i="5" s="1"/>
  <c r="K69" i="5" a="1"/>
  <c r="K69" i="5" s="1"/>
  <c r="J69" i="5" a="1"/>
  <c r="J69" i="5" s="1"/>
  <c r="I69" i="5" a="1"/>
  <c r="I69" i="5" s="1"/>
  <c r="H69" i="5" a="1"/>
  <c r="H69" i="5" s="1"/>
  <c r="G69" i="5" a="1"/>
  <c r="G69" i="5" s="1"/>
  <c r="F69" i="5" a="1"/>
  <c r="F69" i="5" s="1"/>
  <c r="E69" i="5" a="1"/>
  <c r="E69" i="5" s="1"/>
  <c r="D69" i="5" a="1"/>
  <c r="D69" i="5" s="1"/>
  <c r="K67" i="5" a="1"/>
  <c r="K67" i="5" s="1"/>
  <c r="J67" i="5" a="1"/>
  <c r="J67" i="5" s="1"/>
  <c r="I67" i="5" a="1"/>
  <c r="I67" i="5" s="1"/>
  <c r="H67" i="5" a="1"/>
  <c r="H67" i="5" s="1"/>
  <c r="G67" i="5" a="1"/>
  <c r="G67" i="5" s="1"/>
  <c r="F67" i="5" a="1"/>
  <c r="F67" i="5" s="1"/>
  <c r="E67" i="5" a="1"/>
  <c r="E67" i="5" s="1"/>
  <c r="D67" i="5" a="1"/>
  <c r="D67" i="5" s="1"/>
  <c r="K66" i="5" a="1"/>
  <c r="K66" i="5" s="1"/>
  <c r="J66" i="5" a="1"/>
  <c r="J66" i="5" s="1"/>
  <c r="I66" i="5" a="1"/>
  <c r="I66" i="5" s="1"/>
  <c r="H66" i="5" a="1"/>
  <c r="H66" i="5" s="1"/>
  <c r="H68" i="5" s="1"/>
  <c r="G66" i="5" a="1"/>
  <c r="G66" i="5" s="1"/>
  <c r="F66" i="5" a="1"/>
  <c r="F66" i="5" s="1"/>
  <c r="E66" i="5" a="1"/>
  <c r="E66" i="5" s="1"/>
  <c r="D66" i="5" a="1"/>
  <c r="D66" i="5" s="1"/>
  <c r="K65" i="5" a="1"/>
  <c r="K65" i="5" s="1"/>
  <c r="J65" i="5" a="1"/>
  <c r="J65" i="5" s="1"/>
  <c r="I65" i="5" a="1"/>
  <c r="I65" i="5" s="1"/>
  <c r="H65" i="5" a="1"/>
  <c r="H65" i="5" s="1"/>
  <c r="G65" i="5" a="1"/>
  <c r="G65" i="5" s="1"/>
  <c r="F65" i="5" a="1"/>
  <c r="F65" i="5" s="1"/>
  <c r="E65" i="5" a="1"/>
  <c r="E65" i="5" s="1"/>
  <c r="D65" i="5" a="1"/>
  <c r="D65" i="5" s="1"/>
  <c r="K63" i="5" a="1"/>
  <c r="K63" i="5" s="1"/>
  <c r="J63" i="5" a="1"/>
  <c r="J63" i="5" s="1"/>
  <c r="I63" i="5" a="1"/>
  <c r="I63" i="5" s="1"/>
  <c r="H63" i="5" a="1"/>
  <c r="H63" i="5" s="1"/>
  <c r="G63" i="5" a="1"/>
  <c r="G63" i="5" s="1"/>
  <c r="F63" i="5" a="1"/>
  <c r="F63" i="5" s="1"/>
  <c r="E63" i="5" a="1"/>
  <c r="E63" i="5" s="1"/>
  <c r="D63" i="5" a="1"/>
  <c r="D63" i="5" s="1"/>
  <c r="K62" i="5" a="1"/>
  <c r="K62" i="5" s="1"/>
  <c r="J62" i="5" a="1"/>
  <c r="J62" i="5" s="1"/>
  <c r="I62" i="5" a="1"/>
  <c r="I62" i="5" s="1"/>
  <c r="H62" i="5" a="1"/>
  <c r="H62" i="5" s="1"/>
  <c r="G62" i="5" a="1"/>
  <c r="G62" i="5" s="1"/>
  <c r="F62" i="5" a="1"/>
  <c r="F62" i="5" s="1"/>
  <c r="E62" i="5" a="1"/>
  <c r="E62" i="5" s="1"/>
  <c r="D62" i="5" a="1"/>
  <c r="D62" i="5" s="1"/>
  <c r="D64" i="5" s="1"/>
  <c r="K61" i="5" a="1"/>
  <c r="K61" i="5" s="1"/>
  <c r="J61" i="5" a="1"/>
  <c r="J61" i="5" s="1"/>
  <c r="I61" i="5" a="1"/>
  <c r="I61" i="5" s="1"/>
  <c r="H61" i="5" a="1"/>
  <c r="H61" i="5" s="1"/>
  <c r="G61" i="5" a="1"/>
  <c r="G61" i="5" s="1"/>
  <c r="F61" i="5" a="1"/>
  <c r="F61" i="5" s="1"/>
  <c r="E61" i="5" a="1"/>
  <c r="E61" i="5" s="1"/>
  <c r="D61" i="5" a="1"/>
  <c r="D61" i="5" s="1"/>
  <c r="K59" i="5" a="1"/>
  <c r="K59" i="5" s="1"/>
  <c r="J59" i="5" a="1"/>
  <c r="J59" i="5" s="1"/>
  <c r="I59" i="5" a="1"/>
  <c r="I59" i="5" s="1"/>
  <c r="H59" i="5" a="1"/>
  <c r="H59" i="5" s="1"/>
  <c r="G59" i="5" a="1"/>
  <c r="G59" i="5" s="1"/>
  <c r="F59" i="5" a="1"/>
  <c r="F59" i="5" s="1"/>
  <c r="E59" i="5" a="1"/>
  <c r="E59" i="5" s="1"/>
  <c r="D59" i="5" a="1"/>
  <c r="D59" i="5" s="1"/>
  <c r="K58" i="5" a="1"/>
  <c r="K58" i="5" s="1"/>
  <c r="J58" i="5" a="1"/>
  <c r="J58" i="5" s="1"/>
  <c r="I58" i="5" a="1"/>
  <c r="I58" i="5" s="1"/>
  <c r="H58" i="5" a="1"/>
  <c r="H58" i="5" s="1"/>
  <c r="H60" i="5" s="1"/>
  <c r="G58" i="5" a="1"/>
  <c r="G58" i="5" s="1"/>
  <c r="F58" i="5" a="1"/>
  <c r="F58" i="5" s="1"/>
  <c r="E58" i="5" a="1"/>
  <c r="E58" i="5" s="1"/>
  <c r="D58" i="5" a="1"/>
  <c r="D58" i="5" s="1"/>
  <c r="K57" i="5" a="1"/>
  <c r="K57" i="5" s="1"/>
  <c r="J57" i="5" a="1"/>
  <c r="J57" i="5" s="1"/>
  <c r="I57" i="5" a="1"/>
  <c r="I57" i="5" s="1"/>
  <c r="H57" i="5" a="1"/>
  <c r="H57" i="5" s="1"/>
  <c r="G57" i="5" a="1"/>
  <c r="G57" i="5" s="1"/>
  <c r="F57" i="5" a="1"/>
  <c r="F57" i="5" s="1"/>
  <c r="E57" i="5" a="1"/>
  <c r="E57" i="5" s="1"/>
  <c r="D57" i="5" a="1"/>
  <c r="D57" i="5" s="1"/>
  <c r="K55" i="5" a="1"/>
  <c r="K55" i="5" s="1"/>
  <c r="J55" i="5" a="1"/>
  <c r="J55" i="5" s="1"/>
  <c r="I55" i="5" a="1"/>
  <c r="I55" i="5" s="1"/>
  <c r="H55" i="5" a="1"/>
  <c r="H55" i="5" s="1"/>
  <c r="G55" i="5" a="1"/>
  <c r="G55" i="5" s="1"/>
  <c r="F55" i="5" a="1"/>
  <c r="F55" i="5" s="1"/>
  <c r="E55" i="5" a="1"/>
  <c r="E55" i="5" s="1"/>
  <c r="D55" i="5" a="1"/>
  <c r="D55" i="5" s="1"/>
  <c r="K54" i="5" a="1"/>
  <c r="K54" i="5" s="1"/>
  <c r="K56" i="5" s="1"/>
  <c r="J54" i="5" a="1"/>
  <c r="J54" i="5" s="1"/>
  <c r="J56" i="5" s="1"/>
  <c r="I54" i="5" a="1"/>
  <c r="I54" i="5" s="1"/>
  <c r="H54" i="5" a="1"/>
  <c r="H54" i="5" s="1"/>
  <c r="H56" i="5" s="1"/>
  <c r="G54" i="5" a="1"/>
  <c r="G54" i="5" s="1"/>
  <c r="G56" i="5" s="1"/>
  <c r="F54" i="5" a="1"/>
  <c r="F54" i="5" s="1"/>
  <c r="F56" i="5" s="1"/>
  <c r="E54" i="5" a="1"/>
  <c r="E54" i="5" s="1"/>
  <c r="D54" i="5" a="1"/>
  <c r="D54" i="5" s="1"/>
  <c r="K53" i="5" a="1"/>
  <c r="K53" i="5" s="1"/>
  <c r="J53" i="5" a="1"/>
  <c r="J53" i="5" s="1"/>
  <c r="I53" i="5" a="1"/>
  <c r="I53" i="5" s="1"/>
  <c r="H53" i="5" a="1"/>
  <c r="H53" i="5" s="1"/>
  <c r="G53" i="5" a="1"/>
  <c r="G53" i="5" s="1"/>
  <c r="F53" i="5" a="1"/>
  <c r="F53" i="5" s="1"/>
  <c r="E53" i="5" a="1"/>
  <c r="E53" i="5" s="1"/>
  <c r="D53" i="5" a="1"/>
  <c r="D53" i="5" s="1"/>
  <c r="K51" i="5" a="1"/>
  <c r="K51" i="5" s="1"/>
  <c r="J51" i="5" a="1"/>
  <c r="J51" i="5" s="1"/>
  <c r="I51" i="5" a="1"/>
  <c r="I51" i="5" s="1"/>
  <c r="H51" i="5" a="1"/>
  <c r="H51" i="5" s="1"/>
  <c r="G51" i="5" a="1"/>
  <c r="G51" i="5" s="1"/>
  <c r="F51" i="5" a="1"/>
  <c r="F51" i="5" s="1"/>
  <c r="E51" i="5" a="1"/>
  <c r="E51" i="5" s="1"/>
  <c r="D51" i="5" a="1"/>
  <c r="D51" i="5" s="1"/>
  <c r="K50" i="5" a="1"/>
  <c r="K50" i="5" s="1"/>
  <c r="K52" i="5" s="1"/>
  <c r="J50" i="5" a="1"/>
  <c r="J50" i="5" s="1"/>
  <c r="J52" i="5" s="1"/>
  <c r="I50" i="5" a="1"/>
  <c r="I50" i="5" s="1"/>
  <c r="H50" i="5" a="1"/>
  <c r="H50" i="5" s="1"/>
  <c r="G50" i="5" a="1"/>
  <c r="G50" i="5" s="1"/>
  <c r="G52" i="5" s="1"/>
  <c r="F50" i="5" a="1"/>
  <c r="F50" i="5" s="1"/>
  <c r="F52" i="5" s="1"/>
  <c r="E50" i="5" a="1"/>
  <c r="E50" i="5" s="1"/>
  <c r="E52" i="5" s="1"/>
  <c r="D50" i="5" a="1"/>
  <c r="D50" i="5" s="1"/>
  <c r="K49" i="5" a="1"/>
  <c r="K49" i="5" s="1"/>
  <c r="J49" i="5" a="1"/>
  <c r="J49" i="5" s="1"/>
  <c r="I49" i="5" a="1"/>
  <c r="I49" i="5" s="1"/>
  <c r="H49" i="5" a="1"/>
  <c r="H49" i="5" s="1"/>
  <c r="G49" i="5" a="1"/>
  <c r="G49" i="5" s="1"/>
  <c r="F49" i="5" a="1"/>
  <c r="F49" i="5" s="1"/>
  <c r="E49" i="5" a="1"/>
  <c r="E49" i="5" s="1"/>
  <c r="D49" i="5" a="1"/>
  <c r="D49" i="5" s="1"/>
  <c r="K47" i="5" a="1"/>
  <c r="K47" i="5" s="1"/>
  <c r="J47" i="5" a="1"/>
  <c r="J47" i="5" s="1"/>
  <c r="I47" i="5" a="1"/>
  <c r="I47" i="5" s="1"/>
  <c r="H47" i="5" a="1"/>
  <c r="H47" i="5" s="1"/>
  <c r="G47" i="5" a="1"/>
  <c r="G47" i="5" s="1"/>
  <c r="F47" i="5" a="1"/>
  <c r="F47" i="5" s="1"/>
  <c r="E47" i="5" a="1"/>
  <c r="E47" i="5" s="1"/>
  <c r="D47" i="5" a="1"/>
  <c r="D47" i="5" s="1"/>
  <c r="J46" i="5" a="1"/>
  <c r="J46" i="5" s="1"/>
  <c r="I46" i="5" a="1"/>
  <c r="I46" i="5" s="1"/>
  <c r="H46" i="5" a="1"/>
  <c r="H46" i="5" s="1"/>
  <c r="G46" i="5" a="1"/>
  <c r="G46" i="5" s="1"/>
  <c r="F46" i="5" a="1"/>
  <c r="F46" i="5" s="1"/>
  <c r="E46" i="5" a="1"/>
  <c r="E46" i="5" s="1"/>
  <c r="D46" i="5" a="1"/>
  <c r="D46" i="5" s="1"/>
  <c r="J45" i="5" a="1"/>
  <c r="J45" i="5" s="1"/>
  <c r="I45" i="5" a="1"/>
  <c r="I45" i="5" s="1"/>
  <c r="H45" i="5" a="1"/>
  <c r="H45" i="5" s="1"/>
  <c r="G45" i="5" a="1"/>
  <c r="G45" i="5" s="1"/>
  <c r="F45" i="5" a="1"/>
  <c r="F45" i="5" s="1"/>
  <c r="E45" i="5" a="1"/>
  <c r="E45" i="5" s="1"/>
  <c r="D45" i="5" a="1"/>
  <c r="D45" i="5" s="1"/>
  <c r="K43" i="5" a="1"/>
  <c r="K43" i="5" s="1"/>
  <c r="J43" i="5" a="1"/>
  <c r="J43" i="5" s="1"/>
  <c r="I43" i="5" a="1"/>
  <c r="I43" i="5" s="1"/>
  <c r="H43" i="5" a="1"/>
  <c r="H43" i="5" s="1"/>
  <c r="G43" i="5" a="1"/>
  <c r="G43" i="5" s="1"/>
  <c r="F43" i="5" a="1"/>
  <c r="F43" i="5" s="1"/>
  <c r="E43" i="5" a="1"/>
  <c r="E43" i="5" s="1"/>
  <c r="D43" i="5" a="1"/>
  <c r="D43" i="5" s="1"/>
  <c r="K42" i="5" a="1"/>
  <c r="K42" i="5" s="1"/>
  <c r="J42" i="5" a="1"/>
  <c r="J42" i="5" s="1"/>
  <c r="I42" i="5" a="1"/>
  <c r="I42" i="5" s="1"/>
  <c r="I44" i="5" s="1"/>
  <c r="H42" i="5" a="1"/>
  <c r="H42" i="5" s="1"/>
  <c r="G42" i="5" a="1"/>
  <c r="G42" i="5" s="1"/>
  <c r="F42" i="5" a="1"/>
  <c r="F42" i="5" s="1"/>
  <c r="F44" i="5" s="1"/>
  <c r="E42" i="5" a="1"/>
  <c r="E42" i="5" s="1"/>
  <c r="E44" i="5" s="1"/>
  <c r="D42" i="5" a="1"/>
  <c r="D42" i="5" s="1"/>
  <c r="K41" i="5" a="1"/>
  <c r="K41" i="5" s="1"/>
  <c r="J41" i="5" a="1"/>
  <c r="J41" i="5" s="1"/>
  <c r="I41" i="5" a="1"/>
  <c r="I41" i="5" s="1"/>
  <c r="H41" i="5" a="1"/>
  <c r="H41" i="5" s="1"/>
  <c r="G41" i="5" a="1"/>
  <c r="G41" i="5" s="1"/>
  <c r="F41" i="5" a="1"/>
  <c r="F41" i="5" s="1"/>
  <c r="E41" i="5" a="1"/>
  <c r="E41" i="5" s="1"/>
  <c r="D41" i="5" a="1"/>
  <c r="D41" i="5" s="1"/>
  <c r="K39" i="5" a="1"/>
  <c r="K39" i="5" s="1"/>
  <c r="J39" i="5" a="1"/>
  <c r="J39" i="5" s="1"/>
  <c r="I39" i="5" a="1"/>
  <c r="I39" i="5" s="1"/>
  <c r="H39" i="5" a="1"/>
  <c r="H39" i="5" s="1"/>
  <c r="G39" i="5" a="1"/>
  <c r="G39" i="5" s="1"/>
  <c r="F39" i="5" a="1"/>
  <c r="F39" i="5" s="1"/>
  <c r="E39" i="5" a="1"/>
  <c r="E39" i="5" s="1"/>
  <c r="D39" i="5" a="1"/>
  <c r="D39" i="5" s="1"/>
  <c r="K38" i="5" a="1"/>
  <c r="K38" i="5" s="1"/>
  <c r="K40" i="5" s="1"/>
  <c r="J38" i="5" a="1"/>
  <c r="J38" i="5" s="1"/>
  <c r="J40" i="5" s="1"/>
  <c r="I38" i="5" a="1"/>
  <c r="I38" i="5" s="1"/>
  <c r="I40" i="5" s="1"/>
  <c r="H38" i="5" a="1"/>
  <c r="H38" i="5" s="1"/>
  <c r="G38" i="5" a="1"/>
  <c r="G38" i="5" s="1"/>
  <c r="G40" i="5" s="1"/>
  <c r="F38" i="5" a="1"/>
  <c r="F38" i="5" s="1"/>
  <c r="F40" i="5" s="1"/>
  <c r="E38" i="5" a="1"/>
  <c r="E38" i="5" s="1"/>
  <c r="E40" i="5" s="1"/>
  <c r="D38" i="5" a="1"/>
  <c r="D38" i="5" s="1"/>
  <c r="K37" i="5" a="1"/>
  <c r="K37" i="5" s="1"/>
  <c r="J37" i="5" a="1"/>
  <c r="J37" i="5" s="1"/>
  <c r="I37" i="5" a="1"/>
  <c r="I37" i="5" s="1"/>
  <c r="H37" i="5" a="1"/>
  <c r="H37" i="5" s="1"/>
  <c r="G37" i="5" a="1"/>
  <c r="G37" i="5" s="1"/>
  <c r="F37" i="5" a="1"/>
  <c r="F37" i="5" s="1"/>
  <c r="E37" i="5" a="1"/>
  <c r="E37" i="5" s="1"/>
  <c r="D37" i="5" a="1"/>
  <c r="D37" i="5" s="1"/>
  <c r="K35" i="5" a="1"/>
  <c r="K35" i="5" s="1"/>
  <c r="J35" i="5" a="1"/>
  <c r="J35" i="5" s="1"/>
  <c r="I35" i="5" a="1"/>
  <c r="I35" i="5" s="1"/>
  <c r="H35" i="5" a="1"/>
  <c r="H35" i="5" s="1"/>
  <c r="G35" i="5" a="1"/>
  <c r="G35" i="5" s="1"/>
  <c r="F35" i="5" a="1"/>
  <c r="F35" i="5" s="1"/>
  <c r="E35" i="5" a="1"/>
  <c r="E35" i="5" s="1"/>
  <c r="D35" i="5" a="1"/>
  <c r="D35" i="5" s="1"/>
  <c r="K34" i="5" a="1"/>
  <c r="K34" i="5" s="1"/>
  <c r="K36" i="5" s="1"/>
  <c r="J34" i="5" a="1"/>
  <c r="J34" i="5" s="1"/>
  <c r="J36" i="5" s="1"/>
  <c r="I34" i="5" a="1"/>
  <c r="I34" i="5" s="1"/>
  <c r="H34" i="5" a="1"/>
  <c r="H34" i="5" s="1"/>
  <c r="G34" i="5" a="1"/>
  <c r="G34" i="5" s="1"/>
  <c r="G36" i="5" s="1"/>
  <c r="F34" i="5" a="1"/>
  <c r="F34" i="5" s="1"/>
  <c r="F36" i="5" s="1"/>
  <c r="E34" i="5" a="1"/>
  <c r="E34" i="5" s="1"/>
  <c r="E36" i="5" s="1"/>
  <c r="D34" i="5" a="1"/>
  <c r="D34" i="5" s="1"/>
  <c r="K33" i="5" a="1"/>
  <c r="K33" i="5" s="1"/>
  <c r="J33" i="5" a="1"/>
  <c r="J33" i="5" s="1"/>
  <c r="I33" i="5" a="1"/>
  <c r="I33" i="5" s="1"/>
  <c r="H33" i="5" a="1"/>
  <c r="H33" i="5" s="1"/>
  <c r="G33" i="5" a="1"/>
  <c r="G33" i="5" s="1"/>
  <c r="F33" i="5" a="1"/>
  <c r="F33" i="5" s="1"/>
  <c r="E33" i="5" a="1"/>
  <c r="E33" i="5" s="1"/>
  <c r="D33" i="5" a="1"/>
  <c r="D33" i="5" s="1"/>
  <c r="K31" i="5" a="1"/>
  <c r="K31" i="5" s="1"/>
  <c r="J31" i="5" a="1"/>
  <c r="J31" i="5" s="1"/>
  <c r="I31" i="5" a="1"/>
  <c r="I31" i="5" s="1"/>
  <c r="H31" i="5" a="1"/>
  <c r="H31" i="5" s="1"/>
  <c r="G31" i="5" a="1"/>
  <c r="G31" i="5" s="1"/>
  <c r="F31" i="5" a="1"/>
  <c r="F31" i="5" s="1"/>
  <c r="E31" i="5" a="1"/>
  <c r="E31" i="5" s="1"/>
  <c r="D31" i="5" a="1"/>
  <c r="D31" i="5" s="1"/>
  <c r="K30" i="5" a="1"/>
  <c r="K30" i="5" s="1"/>
  <c r="K32" i="5" s="1"/>
  <c r="J30" i="5" a="1"/>
  <c r="J30" i="5" s="1"/>
  <c r="I30" i="5" a="1"/>
  <c r="I30" i="5" s="1"/>
  <c r="I32" i="5" s="1"/>
  <c r="H30" i="5" a="1"/>
  <c r="H30" i="5" s="1"/>
  <c r="H32" i="5" s="1"/>
  <c r="G30" i="5" a="1"/>
  <c r="G30" i="5" s="1"/>
  <c r="G32" i="5" s="1"/>
  <c r="F30" i="5" a="1"/>
  <c r="F30" i="5" s="1"/>
  <c r="F32" i="5" s="1"/>
  <c r="E30" i="5" a="1"/>
  <c r="E30" i="5" s="1"/>
  <c r="E32" i="5" s="1"/>
  <c r="D30" i="5" a="1"/>
  <c r="D30" i="5" s="1"/>
  <c r="K29" i="5" a="1"/>
  <c r="K29" i="5" s="1"/>
  <c r="J29" i="5" a="1"/>
  <c r="J29" i="5" s="1"/>
  <c r="I29" i="5" a="1"/>
  <c r="I29" i="5" s="1"/>
  <c r="H29" i="5" a="1"/>
  <c r="H29" i="5" s="1"/>
  <c r="G29" i="5" a="1"/>
  <c r="G29" i="5" s="1"/>
  <c r="F29" i="5" a="1"/>
  <c r="F29" i="5" s="1"/>
  <c r="E29" i="5" a="1"/>
  <c r="E29" i="5" s="1"/>
  <c r="D29" i="5" a="1"/>
  <c r="D29" i="5" s="1"/>
  <c r="K27" i="5" a="1"/>
  <c r="K27" i="5" s="1"/>
  <c r="J27" i="5" a="1"/>
  <c r="J27" i="5" s="1"/>
  <c r="I27" i="5" a="1"/>
  <c r="I27" i="5" s="1"/>
  <c r="H27" i="5" a="1"/>
  <c r="H27" i="5" s="1"/>
  <c r="G27" i="5" a="1"/>
  <c r="G27" i="5" s="1"/>
  <c r="F27" i="5" a="1"/>
  <c r="F27" i="5" s="1"/>
  <c r="E27" i="5" a="1"/>
  <c r="E27" i="5" s="1"/>
  <c r="D27" i="5" a="1"/>
  <c r="D27" i="5" s="1"/>
  <c r="K26" i="5" a="1"/>
  <c r="K26" i="5" s="1"/>
  <c r="K28" i="5" s="1"/>
  <c r="J26" i="5" a="1"/>
  <c r="J26" i="5" s="1"/>
  <c r="J28" i="5" s="1"/>
  <c r="I26" i="5" a="1"/>
  <c r="I26" i="5" s="1"/>
  <c r="I28" i="5" s="1"/>
  <c r="H26" i="5" a="1"/>
  <c r="H26" i="5" s="1"/>
  <c r="G26" i="5" a="1"/>
  <c r="G26" i="5" s="1"/>
  <c r="F26" i="5" a="1"/>
  <c r="F26" i="5" s="1"/>
  <c r="F28" i="5" s="1"/>
  <c r="E26" i="5" a="1"/>
  <c r="E26" i="5" s="1"/>
  <c r="E28" i="5" s="1"/>
  <c r="D26" i="5" a="1"/>
  <c r="D26" i="5" s="1"/>
  <c r="K25" i="5" a="1"/>
  <c r="K25" i="5" s="1"/>
  <c r="J25" i="5" a="1"/>
  <c r="J25" i="5" s="1"/>
  <c r="I25" i="5" a="1"/>
  <c r="I25" i="5" s="1"/>
  <c r="H25" i="5" a="1"/>
  <c r="H25" i="5" s="1"/>
  <c r="G25" i="5" a="1"/>
  <c r="G25" i="5" s="1"/>
  <c r="F25" i="5" a="1"/>
  <c r="F25" i="5" s="1"/>
  <c r="E25" i="5" a="1"/>
  <c r="E25" i="5" s="1"/>
  <c r="D25" i="5" a="1"/>
  <c r="D25" i="5" s="1"/>
  <c r="K23" i="5" a="1"/>
  <c r="K23" i="5" s="1"/>
  <c r="J23" i="5" a="1"/>
  <c r="J23" i="5" s="1"/>
  <c r="I23" i="5" a="1"/>
  <c r="I23" i="5" s="1"/>
  <c r="H23" i="5" a="1"/>
  <c r="H23" i="5" s="1"/>
  <c r="G23" i="5" a="1"/>
  <c r="G23" i="5" s="1"/>
  <c r="F23" i="5" a="1"/>
  <c r="F23" i="5" s="1"/>
  <c r="E23" i="5" a="1"/>
  <c r="E23" i="5" s="1"/>
  <c r="D23" i="5" a="1"/>
  <c r="D23" i="5" s="1"/>
  <c r="K22" i="5" a="1"/>
  <c r="K22" i="5" s="1"/>
  <c r="K24" i="5" s="1"/>
  <c r="J22" i="5" a="1"/>
  <c r="J22" i="5" s="1"/>
  <c r="I22" i="5" a="1"/>
  <c r="I22" i="5" s="1"/>
  <c r="I24" i="5" s="1"/>
  <c r="H22" i="5" a="1"/>
  <c r="H22" i="5" s="1"/>
  <c r="H24" i="5" s="1"/>
  <c r="G22" i="5" a="1"/>
  <c r="G22" i="5" s="1"/>
  <c r="F22" i="5" a="1"/>
  <c r="F22" i="5" s="1"/>
  <c r="F24" i="5" s="1"/>
  <c r="E22" i="5" a="1"/>
  <c r="E22" i="5" s="1"/>
  <c r="E24" i="5" s="1"/>
  <c r="D22" i="5" a="1"/>
  <c r="D22" i="5" s="1"/>
  <c r="D24" i="5" s="1"/>
  <c r="K21" i="5" a="1"/>
  <c r="K21" i="5" s="1"/>
  <c r="J21" i="5" a="1"/>
  <c r="J21" i="5" s="1"/>
  <c r="I21" i="5" a="1"/>
  <c r="I21" i="5" s="1"/>
  <c r="H21" i="5" a="1"/>
  <c r="H21" i="5" s="1"/>
  <c r="G21" i="5" a="1"/>
  <c r="G21" i="5" s="1"/>
  <c r="F21" i="5" a="1"/>
  <c r="F21" i="5" s="1"/>
  <c r="E21" i="5" a="1"/>
  <c r="E21" i="5" s="1"/>
  <c r="D21" i="5" a="1"/>
  <c r="D21" i="5" s="1"/>
  <c r="K19" i="5" a="1"/>
  <c r="K19" i="5" s="1"/>
  <c r="J19" i="5" a="1"/>
  <c r="J19" i="5" s="1"/>
  <c r="I19" i="5" a="1"/>
  <c r="I19" i="5" s="1"/>
  <c r="H19" i="5" a="1"/>
  <c r="H19" i="5" s="1"/>
  <c r="G19" i="5" a="1"/>
  <c r="G19" i="5" s="1"/>
  <c r="F19" i="5" a="1"/>
  <c r="F19" i="5" s="1"/>
  <c r="E19" i="5" a="1"/>
  <c r="E19" i="5" s="1"/>
  <c r="D19" i="5" a="1"/>
  <c r="D19" i="5" s="1"/>
  <c r="K18" i="5" a="1"/>
  <c r="K18" i="5" s="1"/>
  <c r="K20" i="5" s="1"/>
  <c r="J18" i="5" a="1"/>
  <c r="J18" i="5" s="1"/>
  <c r="J20" i="5" s="1"/>
  <c r="I18" i="5" a="1"/>
  <c r="I18" i="5" s="1"/>
  <c r="I20" i="5" s="1"/>
  <c r="H18" i="5" a="1"/>
  <c r="H18" i="5" s="1"/>
  <c r="H20" i="5" s="1"/>
  <c r="G18" i="5" a="1"/>
  <c r="G18" i="5" s="1"/>
  <c r="G20" i="5" s="1"/>
  <c r="F18" i="5" a="1"/>
  <c r="F18" i="5" s="1"/>
  <c r="F20" i="5" s="1"/>
  <c r="E18" i="5" a="1"/>
  <c r="E18" i="5" s="1"/>
  <c r="D18" i="5" a="1"/>
  <c r="D18" i="5" s="1"/>
  <c r="D20" i="5" s="1"/>
  <c r="K17" i="5" a="1"/>
  <c r="K17" i="5" s="1"/>
  <c r="J17" i="5" a="1"/>
  <c r="J17" i="5" s="1"/>
  <c r="I17" i="5" a="1"/>
  <c r="I17" i="5" s="1"/>
  <c r="H17" i="5" a="1"/>
  <c r="H17" i="5" s="1"/>
  <c r="G17" i="5" a="1"/>
  <c r="G17" i="5" s="1"/>
  <c r="F17" i="5" a="1"/>
  <c r="F17" i="5" s="1"/>
  <c r="E17" i="5" a="1"/>
  <c r="E17" i="5" s="1"/>
  <c r="D17" i="5" a="1"/>
  <c r="D17" i="5" s="1"/>
  <c r="K15" i="5" a="1"/>
  <c r="K15" i="5" s="1"/>
  <c r="J15" i="5" a="1"/>
  <c r="J15" i="5" s="1"/>
  <c r="I15" i="5" a="1"/>
  <c r="I15" i="5" s="1"/>
  <c r="H15" i="5" a="1"/>
  <c r="H15" i="5" s="1"/>
  <c r="G15" i="5" a="1"/>
  <c r="G15" i="5" s="1"/>
  <c r="F15" i="5" a="1"/>
  <c r="F15" i="5" s="1"/>
  <c r="E15" i="5" a="1"/>
  <c r="E15" i="5" s="1"/>
  <c r="D15" i="5" a="1"/>
  <c r="D15" i="5" s="1"/>
  <c r="K14" i="5" a="1"/>
  <c r="K14" i="5" s="1"/>
  <c r="K16" i="5" s="1"/>
  <c r="J14" i="5" a="1"/>
  <c r="J14" i="5" s="1"/>
  <c r="I14" i="5" a="1"/>
  <c r="I14" i="5" s="1"/>
  <c r="I16" i="5" s="1"/>
  <c r="H14" i="5" a="1"/>
  <c r="H14" i="5" s="1"/>
  <c r="G14" i="5" a="1"/>
  <c r="G14" i="5" s="1"/>
  <c r="F14" i="5" a="1"/>
  <c r="F14" i="5" s="1"/>
  <c r="E14" i="5" a="1"/>
  <c r="E14" i="5" s="1"/>
  <c r="E16" i="5" s="1"/>
  <c r="D14" i="5" a="1"/>
  <c r="D14" i="5" s="1"/>
  <c r="K13" i="5" a="1"/>
  <c r="K13" i="5" s="1"/>
  <c r="J13" i="5" a="1"/>
  <c r="J13" i="5" s="1"/>
  <c r="I13" i="5" a="1"/>
  <c r="I13" i="5" s="1"/>
  <c r="H13" i="5" a="1"/>
  <c r="H13" i="5" s="1"/>
  <c r="G13" i="5" a="1"/>
  <c r="G13" i="5" s="1"/>
  <c r="F13" i="5" a="1"/>
  <c r="F13" i="5" s="1"/>
  <c r="E13" i="5" a="1"/>
  <c r="E13" i="5" s="1"/>
  <c r="D13" i="5" a="1"/>
  <c r="D13" i="5" s="1"/>
  <c r="K11" i="5" a="1"/>
  <c r="K11" i="5" s="1"/>
  <c r="J11" i="5" a="1"/>
  <c r="J11" i="5" s="1"/>
  <c r="I11" i="5" a="1"/>
  <c r="I11" i="5" s="1"/>
  <c r="H11" i="5" a="1"/>
  <c r="H11" i="5" s="1"/>
  <c r="G11" i="5" a="1"/>
  <c r="G11" i="5" s="1"/>
  <c r="F11" i="5" a="1"/>
  <c r="F11" i="5" s="1"/>
  <c r="E11" i="5" a="1"/>
  <c r="E11" i="5" s="1"/>
  <c r="D11" i="5" a="1"/>
  <c r="D11" i="5" s="1"/>
  <c r="K10" i="5" a="1"/>
  <c r="K10" i="5" s="1"/>
  <c r="J10" i="5" a="1"/>
  <c r="J10" i="5" s="1"/>
  <c r="I10" i="5" a="1"/>
  <c r="I10" i="5" s="1"/>
  <c r="H10" i="5" a="1"/>
  <c r="H10" i="5" s="1"/>
  <c r="G10" i="5" a="1"/>
  <c r="G10" i="5" s="1"/>
  <c r="F10" i="5" a="1"/>
  <c r="F10" i="5" s="1"/>
  <c r="E10" i="5" a="1"/>
  <c r="E10" i="5" s="1"/>
  <c r="D10" i="5" a="1"/>
  <c r="D10" i="5" s="1"/>
  <c r="K9" i="5" a="1"/>
  <c r="K9" i="5" s="1"/>
  <c r="J9" i="5" a="1"/>
  <c r="J9" i="5" s="1"/>
  <c r="I9" i="5" a="1"/>
  <c r="I9" i="5" s="1"/>
  <c r="H9" i="5" a="1"/>
  <c r="H9" i="5" s="1"/>
  <c r="G9" i="5" a="1"/>
  <c r="G9" i="5" s="1"/>
  <c r="F9" i="5" a="1"/>
  <c r="F9" i="5" s="1"/>
  <c r="E9" i="5" a="1"/>
  <c r="E9" i="5" s="1"/>
  <c r="D9" i="5" a="1"/>
  <c r="D9" i="5" s="1"/>
  <c r="K7" i="5" a="1"/>
  <c r="K7" i="5" s="1"/>
  <c r="J7" i="5" a="1"/>
  <c r="J7" i="5" s="1"/>
  <c r="I7" i="5" a="1"/>
  <c r="I7" i="5" s="1"/>
  <c r="H7" i="5" a="1"/>
  <c r="H7" i="5" s="1"/>
  <c r="G7" i="5" a="1"/>
  <c r="G7" i="5" s="1"/>
  <c r="F7" i="5" a="1"/>
  <c r="F7" i="5" s="1"/>
  <c r="E7" i="5" a="1"/>
  <c r="E7" i="5" s="1"/>
  <c r="D7" i="5" a="1"/>
  <c r="D7" i="5" s="1"/>
  <c r="K6" i="5" a="1"/>
  <c r="K6" i="5" s="1"/>
  <c r="J6" i="5" a="1"/>
  <c r="J6" i="5" s="1"/>
  <c r="J8" i="5" s="1"/>
  <c r="I6" i="5" a="1"/>
  <c r="I6" i="5" s="1"/>
  <c r="H6" i="5" a="1"/>
  <c r="H6" i="5" s="1"/>
  <c r="G6" i="5" a="1"/>
  <c r="G6" i="5" s="1"/>
  <c r="F6" i="5" a="1"/>
  <c r="F6" i="5" s="1"/>
  <c r="E6" i="5" a="1"/>
  <c r="E6" i="5" s="1"/>
  <c r="D6" i="5" a="1"/>
  <c r="D6" i="5" s="1"/>
  <c r="K5" i="5" a="1"/>
  <c r="K5" i="5" s="1"/>
  <c r="J5" i="5" a="1"/>
  <c r="J5" i="5" s="1"/>
  <c r="I5" i="5" a="1"/>
  <c r="I5" i="5" s="1"/>
  <c r="H5" i="5" a="1"/>
  <c r="H5" i="5" s="1"/>
  <c r="G5" i="5" a="1"/>
  <c r="G5" i="5" s="1"/>
  <c r="F5" i="5" a="1"/>
  <c r="F5" i="5" s="1"/>
  <c r="E5" i="5" a="1"/>
  <c r="E5" i="5" s="1"/>
  <c r="D5" i="5" a="1"/>
  <c r="D5" i="5" s="1"/>
  <c r="K84" i="5"/>
  <c r="I56" i="5"/>
  <c r="I52" i="5"/>
  <c r="R115" i="5"/>
  <c r="R114" i="5" a="1"/>
  <c r="R114" i="5" s="1"/>
  <c r="R113" i="5" a="1"/>
  <c r="R113" i="5" s="1"/>
  <c r="P113" i="5" a="1"/>
  <c r="P113" i="5" s="1"/>
  <c r="O113" i="5" a="1"/>
  <c r="O113" i="5" s="1"/>
  <c r="N113" i="5" a="1"/>
  <c r="N113" i="5" s="1"/>
  <c r="N115" i="5" s="1"/>
  <c r="M113" i="5" a="1"/>
  <c r="M113" i="5" s="1"/>
  <c r="R111" i="5" a="1"/>
  <c r="R111" i="5" s="1"/>
  <c r="E91" i="6" s="1"/>
  <c r="P111" i="5" a="1"/>
  <c r="P111" i="5" s="1"/>
  <c r="O111" i="5" a="1"/>
  <c r="O111" i="5" s="1"/>
  <c r="N111" i="5" a="1"/>
  <c r="N111" i="5" s="1"/>
  <c r="M111" i="5" a="1"/>
  <c r="M111" i="5" s="1"/>
  <c r="R110" i="5" a="1"/>
  <c r="R110" i="5" s="1"/>
  <c r="D91" i="6" s="1"/>
  <c r="P110" i="5" a="1"/>
  <c r="P110" i="5" s="1"/>
  <c r="O110" i="5" a="1"/>
  <c r="O110" i="5" s="1"/>
  <c r="N110" i="5" a="1"/>
  <c r="N110" i="5" s="1"/>
  <c r="M110" i="5" a="1"/>
  <c r="M110" i="5" s="1"/>
  <c r="R109" i="5"/>
  <c r="C37" i="6" s="1"/>
  <c r="P109" i="5" a="1"/>
  <c r="P109" i="5" s="1"/>
  <c r="O109" i="5" a="1"/>
  <c r="O109" i="5" s="1"/>
  <c r="N109" i="5" a="1"/>
  <c r="N109" i="5" s="1"/>
  <c r="M109" i="5" a="1"/>
  <c r="M109" i="5" s="1"/>
  <c r="R107" i="5" a="1"/>
  <c r="R107" i="5" s="1"/>
  <c r="E79" i="6" s="1"/>
  <c r="P107" i="5" a="1"/>
  <c r="P107" i="5" s="1"/>
  <c r="O107" i="5" a="1"/>
  <c r="O107" i="5" s="1"/>
  <c r="N107" i="5" a="1"/>
  <c r="N107" i="5" s="1"/>
  <c r="M107" i="5" a="1"/>
  <c r="M107" i="5" s="1"/>
  <c r="R106" i="5" a="1"/>
  <c r="R106" i="5" s="1"/>
  <c r="D25" i="6" s="1"/>
  <c r="P106" i="5" a="1"/>
  <c r="P106" i="5" s="1"/>
  <c r="O106" i="5" a="1"/>
  <c r="O106" i="5" s="1"/>
  <c r="N106" i="5" a="1"/>
  <c r="N106" i="5" s="1"/>
  <c r="M106" i="5" a="1"/>
  <c r="M106" i="5" s="1"/>
  <c r="R105" i="5"/>
  <c r="C25" i="6" s="1"/>
  <c r="P105" i="5" a="1"/>
  <c r="P105" i="5" s="1"/>
  <c r="O105" i="5" a="1"/>
  <c r="O105" i="5" s="1"/>
  <c r="N105" i="5" a="1"/>
  <c r="N105" i="5" s="1"/>
  <c r="M105" i="5" a="1"/>
  <c r="M105" i="5" s="1"/>
  <c r="R103" i="5" a="1"/>
  <c r="R103" i="5" s="1"/>
  <c r="E86" i="6" s="1"/>
  <c r="P103" i="5" a="1"/>
  <c r="P103" i="5" s="1"/>
  <c r="O103" i="5" a="1"/>
  <c r="O103" i="5" s="1"/>
  <c r="N103" i="5" a="1"/>
  <c r="N103" i="5" s="1"/>
  <c r="M103" i="5" a="1"/>
  <c r="M103" i="5" s="1"/>
  <c r="R102" i="5" a="1"/>
  <c r="R102" i="5" s="1"/>
  <c r="D86" i="6" s="1"/>
  <c r="P102" i="5" a="1"/>
  <c r="P102" i="5" s="1"/>
  <c r="O102" i="5" a="1"/>
  <c r="O102" i="5" s="1"/>
  <c r="N102" i="5" a="1"/>
  <c r="N102" i="5" s="1"/>
  <c r="M102" i="5" a="1"/>
  <c r="M102" i="5" s="1"/>
  <c r="R101" i="5"/>
  <c r="C86" i="6" s="1"/>
  <c r="G86" i="6" s="1"/>
  <c r="P101" i="5" a="1"/>
  <c r="P101" i="5" s="1"/>
  <c r="O101" i="5" a="1"/>
  <c r="O101" i="5" s="1"/>
  <c r="N101" i="5" a="1"/>
  <c r="N101" i="5" s="1"/>
  <c r="M101" i="5" a="1"/>
  <c r="M101" i="5" s="1"/>
  <c r="R99" i="5" a="1"/>
  <c r="R99" i="5" s="1"/>
  <c r="E103" i="6" s="1"/>
  <c r="P99" i="5" a="1"/>
  <c r="P99" i="5" s="1"/>
  <c r="O99" i="5" a="1"/>
  <c r="O99" i="5" s="1"/>
  <c r="N99" i="5" a="1"/>
  <c r="N99" i="5" s="1"/>
  <c r="M99" i="5" a="1"/>
  <c r="M99" i="5" s="1"/>
  <c r="R98" i="5" a="1"/>
  <c r="R98" i="5" s="1"/>
  <c r="D49" i="6" s="1"/>
  <c r="P98" i="5" a="1"/>
  <c r="P98" i="5" s="1"/>
  <c r="O98" i="5" a="1"/>
  <c r="O98" i="5" s="1"/>
  <c r="N98" i="5" a="1"/>
  <c r="N98" i="5" s="1"/>
  <c r="M98" i="5" a="1"/>
  <c r="M98" i="5" s="1"/>
  <c r="R97" i="5"/>
  <c r="C49" i="6" s="1"/>
  <c r="P97" i="5" a="1"/>
  <c r="P97" i="5" s="1"/>
  <c r="O97" i="5" a="1"/>
  <c r="O97" i="5" s="1"/>
  <c r="N97" i="5" a="1"/>
  <c r="N97" i="5" s="1"/>
  <c r="M97" i="5" a="1"/>
  <c r="M97" i="5" s="1"/>
  <c r="R95" i="5" a="1"/>
  <c r="R95" i="5" s="1"/>
  <c r="E43" i="6" s="1"/>
  <c r="P95" i="5" a="1"/>
  <c r="P95" i="5" s="1"/>
  <c r="O95" i="5" a="1"/>
  <c r="O95" i="5" s="1"/>
  <c r="N95" i="5" a="1"/>
  <c r="N95" i="5" s="1"/>
  <c r="M95" i="5" a="1"/>
  <c r="M95" i="5" s="1"/>
  <c r="R94" i="5" a="1"/>
  <c r="R94" i="5" s="1"/>
  <c r="D97" i="6" s="1"/>
  <c r="P94" i="5" a="1"/>
  <c r="P94" i="5" s="1"/>
  <c r="O94" i="5" a="1"/>
  <c r="O94" i="5" s="1"/>
  <c r="N94" i="5" a="1"/>
  <c r="N94" i="5" s="1"/>
  <c r="M94" i="5" a="1"/>
  <c r="M94" i="5" s="1"/>
  <c r="R93" i="5"/>
  <c r="C97" i="6" s="1"/>
  <c r="P93" i="5" a="1"/>
  <c r="P93" i="5" s="1"/>
  <c r="O93" i="5" a="1"/>
  <c r="O93" i="5" s="1"/>
  <c r="N93" i="5" a="1"/>
  <c r="N93" i="5" s="1"/>
  <c r="M93" i="5" a="1"/>
  <c r="M93" i="5" s="1"/>
  <c r="R91" i="5" a="1"/>
  <c r="R91" i="5" s="1"/>
  <c r="E27" i="6" s="1"/>
  <c r="P91" i="5" a="1"/>
  <c r="P91" i="5" s="1"/>
  <c r="O91" i="5" a="1"/>
  <c r="O91" i="5" s="1"/>
  <c r="N91" i="5" a="1"/>
  <c r="N91" i="5" s="1"/>
  <c r="M91" i="5" a="1"/>
  <c r="M91" i="5" s="1"/>
  <c r="R90" i="5" a="1"/>
  <c r="R90" i="5" s="1"/>
  <c r="D81" i="6" s="1"/>
  <c r="P90" i="5" a="1"/>
  <c r="P90" i="5" s="1"/>
  <c r="O90" i="5" a="1"/>
  <c r="O90" i="5" s="1"/>
  <c r="N90" i="5" a="1"/>
  <c r="N90" i="5" s="1"/>
  <c r="M90" i="5" a="1"/>
  <c r="M90" i="5" s="1"/>
  <c r="R89" i="5"/>
  <c r="C81" i="6" s="1"/>
  <c r="G81" i="6" s="1"/>
  <c r="P89" i="5" a="1"/>
  <c r="P89" i="5" s="1"/>
  <c r="O89" i="5" a="1"/>
  <c r="O89" i="5" s="1"/>
  <c r="N89" i="5" a="1"/>
  <c r="N89" i="5" s="1"/>
  <c r="M89" i="5" a="1"/>
  <c r="M89" i="5" s="1"/>
  <c r="R87" i="5" a="1"/>
  <c r="R87" i="5" s="1"/>
  <c r="E88" i="6" s="1"/>
  <c r="P87" i="5" a="1"/>
  <c r="P87" i="5" s="1"/>
  <c r="O87" i="5" a="1"/>
  <c r="O87" i="5" s="1"/>
  <c r="N87" i="5" a="1"/>
  <c r="N87" i="5" s="1"/>
  <c r="M87" i="5" a="1"/>
  <c r="M87" i="5" s="1"/>
  <c r="R86" i="5" a="1"/>
  <c r="R86" i="5" s="1"/>
  <c r="D88" i="6" s="1"/>
  <c r="P86" i="5" a="1"/>
  <c r="P86" i="5" s="1"/>
  <c r="O86" i="5" a="1"/>
  <c r="O86" i="5" s="1"/>
  <c r="N86" i="5" a="1"/>
  <c r="N86" i="5" s="1"/>
  <c r="M86" i="5" a="1"/>
  <c r="M86" i="5" s="1"/>
  <c r="R85" i="5"/>
  <c r="C34" i="6" s="1"/>
  <c r="P85" i="5" a="1"/>
  <c r="P85" i="5" s="1"/>
  <c r="O85" i="5" a="1"/>
  <c r="O85" i="5" s="1"/>
  <c r="N85" i="5" a="1"/>
  <c r="N85" i="5" s="1"/>
  <c r="M85" i="5" a="1"/>
  <c r="M85" i="5" s="1"/>
  <c r="R83" i="5" a="1"/>
  <c r="R83" i="5" s="1"/>
  <c r="E35" i="6" s="1"/>
  <c r="P83" i="5" a="1"/>
  <c r="P83" i="5" s="1"/>
  <c r="O83" i="5" a="1"/>
  <c r="O83" i="5" s="1"/>
  <c r="N83" i="5" a="1"/>
  <c r="N83" i="5" s="1"/>
  <c r="M83" i="5" a="1"/>
  <c r="M83" i="5" s="1"/>
  <c r="R82" i="5" a="1"/>
  <c r="R82" i="5" s="1"/>
  <c r="P82" i="5" a="1"/>
  <c r="P82" i="5" s="1"/>
  <c r="O82" i="5" a="1"/>
  <c r="O82" i="5" s="1"/>
  <c r="N82" i="5" a="1"/>
  <c r="N82" i="5" s="1"/>
  <c r="M82" i="5" a="1"/>
  <c r="M82" i="5" s="1"/>
  <c r="R81" i="5"/>
  <c r="C89" i="6" s="1"/>
  <c r="P81" i="5" a="1"/>
  <c r="P81" i="5" s="1"/>
  <c r="O81" i="5" a="1"/>
  <c r="O81" i="5" s="1"/>
  <c r="N81" i="5" a="1"/>
  <c r="N81" i="5" s="1"/>
  <c r="M81" i="5" a="1"/>
  <c r="M81" i="5" s="1"/>
  <c r="R79" i="5" a="1"/>
  <c r="R79" i="5" s="1"/>
  <c r="E94" i="6" s="1"/>
  <c r="P79" i="5" a="1"/>
  <c r="P79" i="5" s="1"/>
  <c r="O79" i="5" a="1"/>
  <c r="O79" i="5" s="1"/>
  <c r="N79" i="5" a="1"/>
  <c r="N79" i="5" s="1"/>
  <c r="M79" i="5" a="1"/>
  <c r="M79" i="5" s="1"/>
  <c r="R78" i="5" a="1"/>
  <c r="R78" i="5" s="1"/>
  <c r="D94" i="6" s="1"/>
  <c r="P78" i="5" a="1"/>
  <c r="P78" i="5" s="1"/>
  <c r="O78" i="5" a="1"/>
  <c r="O78" i="5" s="1"/>
  <c r="N78" i="5" a="1"/>
  <c r="N78" i="5" s="1"/>
  <c r="M78" i="5" a="1"/>
  <c r="M78" i="5" s="1"/>
  <c r="R77" i="5"/>
  <c r="C94" i="6" s="1"/>
  <c r="P77" i="5" a="1"/>
  <c r="P77" i="5" s="1"/>
  <c r="O77" i="5" a="1"/>
  <c r="O77" i="5" s="1"/>
  <c r="N77" i="5" a="1"/>
  <c r="N77" i="5" s="1"/>
  <c r="M77" i="5" a="1"/>
  <c r="M77" i="5" s="1"/>
  <c r="R75" i="5" a="1"/>
  <c r="R75" i="5" s="1"/>
  <c r="E46" i="6" s="1"/>
  <c r="R74" i="5" a="1"/>
  <c r="R74" i="5" s="1"/>
  <c r="D46" i="6" s="1"/>
  <c r="R73" i="5"/>
  <c r="C100" i="6" s="1"/>
  <c r="P73" i="5" a="1"/>
  <c r="P73" i="5" s="1"/>
  <c r="O73" i="5" a="1"/>
  <c r="O73" i="5" s="1"/>
  <c r="N73" i="5" a="1"/>
  <c r="N73" i="5" s="1"/>
  <c r="M73" i="5" a="1"/>
  <c r="M73" i="5" s="1"/>
  <c r="R71" i="5" a="1"/>
  <c r="R71" i="5" s="1"/>
  <c r="E102" i="6" s="1"/>
  <c r="P71" i="5" a="1"/>
  <c r="P71" i="5" s="1"/>
  <c r="O71" i="5" a="1"/>
  <c r="O71" i="5" s="1"/>
  <c r="N71" i="5" a="1"/>
  <c r="N71" i="5" s="1"/>
  <c r="M71" i="5" a="1"/>
  <c r="M71" i="5" s="1"/>
  <c r="R70" i="5" a="1"/>
  <c r="R70" i="5" s="1"/>
  <c r="D102" i="6" s="1"/>
  <c r="P70" i="5" a="1"/>
  <c r="P70" i="5" s="1"/>
  <c r="O70" i="5" a="1"/>
  <c r="O70" i="5" s="1"/>
  <c r="N70" i="5" a="1"/>
  <c r="N70" i="5" s="1"/>
  <c r="M70" i="5" a="1"/>
  <c r="M70" i="5" s="1"/>
  <c r="R69" i="5"/>
  <c r="C48" i="6" s="1"/>
  <c r="P69" i="5" a="1"/>
  <c r="P69" i="5" s="1"/>
  <c r="O69" i="5" a="1"/>
  <c r="O69" i="5" s="1"/>
  <c r="N69" i="5" a="1"/>
  <c r="N69" i="5" s="1"/>
  <c r="M69" i="5" a="1"/>
  <c r="M69" i="5" s="1"/>
  <c r="R67" i="5" a="1"/>
  <c r="R67" i="5" s="1"/>
  <c r="E96" i="6" s="1"/>
  <c r="P67" i="5" a="1"/>
  <c r="P67" i="5" s="1"/>
  <c r="O67" i="5" a="1"/>
  <c r="O67" i="5" s="1"/>
  <c r="N67" i="5" a="1"/>
  <c r="N67" i="5" s="1"/>
  <c r="M67" i="5" a="1"/>
  <c r="M67" i="5" s="1"/>
  <c r="R66" i="5" a="1"/>
  <c r="R66" i="5" s="1"/>
  <c r="D96" i="6" s="1"/>
  <c r="P66" i="5" a="1"/>
  <c r="P66" i="5" s="1"/>
  <c r="O66" i="5" a="1"/>
  <c r="O66" i="5" s="1"/>
  <c r="N66" i="5" a="1"/>
  <c r="N66" i="5" s="1"/>
  <c r="M66" i="5" a="1"/>
  <c r="M66" i="5" s="1"/>
  <c r="R65" i="5"/>
  <c r="C96" i="6" s="1"/>
  <c r="P65" i="5" a="1"/>
  <c r="P65" i="5" s="1"/>
  <c r="O65" i="5" a="1"/>
  <c r="O65" i="5" s="1"/>
  <c r="N65" i="5" a="1"/>
  <c r="N65" i="5" s="1"/>
  <c r="M65" i="5" a="1"/>
  <c r="M65" i="5" s="1"/>
  <c r="R63" i="5" a="1"/>
  <c r="R63" i="5" s="1"/>
  <c r="E78" i="6" s="1"/>
  <c r="P63" i="5" a="1"/>
  <c r="P63" i="5" s="1"/>
  <c r="O63" i="5" a="1"/>
  <c r="O63" i="5" s="1"/>
  <c r="N63" i="5" a="1"/>
  <c r="N63" i="5" s="1"/>
  <c r="M63" i="5" a="1"/>
  <c r="M63" i="5" s="1"/>
  <c r="R62" i="5" a="1"/>
  <c r="R62" i="5" s="1"/>
  <c r="D78" i="6" s="1"/>
  <c r="P62" i="5" a="1"/>
  <c r="P62" i="5" s="1"/>
  <c r="O62" i="5" a="1"/>
  <c r="O62" i="5" s="1"/>
  <c r="N62" i="5" a="1"/>
  <c r="N62" i="5" s="1"/>
  <c r="M62" i="5" a="1"/>
  <c r="M62" i="5" s="1"/>
  <c r="R61" i="5"/>
  <c r="C78" i="6" s="1"/>
  <c r="G78" i="6" s="1"/>
  <c r="P61" i="5" a="1"/>
  <c r="P61" i="5" s="1"/>
  <c r="O61" i="5" a="1"/>
  <c r="O61" i="5" s="1"/>
  <c r="N61" i="5" a="1"/>
  <c r="N61" i="5" s="1"/>
  <c r="M61" i="5" a="1"/>
  <c r="M61" i="5" s="1"/>
  <c r="R59" i="5" a="1"/>
  <c r="R59" i="5" s="1"/>
  <c r="E38" i="6" s="1"/>
  <c r="P59" i="5" a="1"/>
  <c r="P59" i="5" s="1"/>
  <c r="O59" i="5" a="1"/>
  <c r="O59" i="5" s="1"/>
  <c r="N59" i="5" a="1"/>
  <c r="N59" i="5" s="1"/>
  <c r="M59" i="5" a="1"/>
  <c r="M59" i="5" s="1"/>
  <c r="R58" i="5" a="1"/>
  <c r="R58" i="5" s="1"/>
  <c r="D38" i="6" s="1"/>
  <c r="P58" i="5" a="1"/>
  <c r="P58" i="5" s="1"/>
  <c r="O58" i="5" a="1"/>
  <c r="O58" i="5" s="1"/>
  <c r="N58" i="5" a="1"/>
  <c r="N58" i="5" s="1"/>
  <c r="M58" i="5" a="1"/>
  <c r="M58" i="5" s="1"/>
  <c r="R57" i="5"/>
  <c r="C92" i="6" s="1"/>
  <c r="P57" i="5" a="1"/>
  <c r="P57" i="5" s="1"/>
  <c r="O57" i="5" a="1"/>
  <c r="O57" i="5" s="1"/>
  <c r="N57" i="5" a="1"/>
  <c r="N57" i="5" s="1"/>
  <c r="M57" i="5" a="1"/>
  <c r="M57" i="5" s="1"/>
  <c r="R55" i="5" a="1"/>
  <c r="R55" i="5" s="1"/>
  <c r="E87" i="6" s="1"/>
  <c r="P55" i="5" a="1"/>
  <c r="P55" i="5" s="1"/>
  <c r="O55" i="5" a="1"/>
  <c r="O55" i="5" s="1"/>
  <c r="N55" i="5" a="1"/>
  <c r="N55" i="5" s="1"/>
  <c r="M55" i="5" a="1"/>
  <c r="M55" i="5" s="1"/>
  <c r="R54" i="5" a="1"/>
  <c r="R54" i="5" s="1"/>
  <c r="D33" i="6" s="1"/>
  <c r="P54" i="5" a="1"/>
  <c r="P54" i="5" s="1"/>
  <c r="O54" i="5" a="1"/>
  <c r="O54" i="5" s="1"/>
  <c r="N54" i="5" a="1"/>
  <c r="N54" i="5" s="1"/>
  <c r="M54" i="5" a="1"/>
  <c r="M54" i="5" s="1"/>
  <c r="R53" i="5"/>
  <c r="C33" i="6" s="1"/>
  <c r="P53" i="5" a="1"/>
  <c r="P53" i="5" s="1"/>
  <c r="O53" i="5" a="1"/>
  <c r="O53" i="5" s="1"/>
  <c r="N53" i="5" a="1"/>
  <c r="N53" i="5" s="1"/>
  <c r="M53" i="5" a="1"/>
  <c r="M53" i="5" s="1"/>
  <c r="R51" i="5" a="1"/>
  <c r="R51" i="5" s="1"/>
  <c r="E83" i="6" s="1"/>
  <c r="P51" i="5" a="1"/>
  <c r="P51" i="5" s="1"/>
  <c r="O51" i="5" a="1"/>
  <c r="O51" i="5" s="1"/>
  <c r="N51" i="5" a="1"/>
  <c r="N51" i="5" s="1"/>
  <c r="M51" i="5" a="1"/>
  <c r="M51" i="5" s="1"/>
  <c r="R50" i="5" a="1"/>
  <c r="R50" i="5" s="1"/>
  <c r="P50" i="5" a="1"/>
  <c r="P50" i="5" s="1"/>
  <c r="O50" i="5" a="1"/>
  <c r="O50" i="5" s="1"/>
  <c r="N50" i="5" a="1"/>
  <c r="N50" i="5" s="1"/>
  <c r="M50" i="5" a="1"/>
  <c r="M50" i="5" s="1"/>
  <c r="H52" i="5"/>
  <c r="D52" i="5"/>
  <c r="R49" i="5"/>
  <c r="C29" i="6" s="1"/>
  <c r="P49" i="5" a="1"/>
  <c r="P49" i="5" s="1"/>
  <c r="O49" i="5" a="1"/>
  <c r="O49" i="5" s="1"/>
  <c r="N49" i="5" a="1"/>
  <c r="N49" i="5" s="1"/>
  <c r="M49" i="5" a="1"/>
  <c r="M49" i="5" s="1"/>
  <c r="R47" i="5" a="1"/>
  <c r="R47" i="5" s="1"/>
  <c r="E23" i="6" s="1"/>
  <c r="P47" i="5" a="1"/>
  <c r="P47" i="5" s="1"/>
  <c r="O47" i="5" a="1"/>
  <c r="O47" i="5" s="1"/>
  <c r="N47" i="5" a="1"/>
  <c r="N47" i="5" s="1"/>
  <c r="M47" i="5" a="1"/>
  <c r="M47" i="5" s="1"/>
  <c r="R46" i="5" a="1"/>
  <c r="R46" i="5" s="1"/>
  <c r="D23" i="6" s="1"/>
  <c r="P46" i="5" a="1"/>
  <c r="P46" i="5" s="1"/>
  <c r="O46" i="5" a="1"/>
  <c r="O46" i="5" s="1"/>
  <c r="N46" i="5" a="1"/>
  <c r="N46" i="5" s="1"/>
  <c r="M46" i="5" a="1"/>
  <c r="M46" i="5" s="1"/>
  <c r="D48" i="5"/>
  <c r="P45" i="5" a="1"/>
  <c r="P45" i="5" s="1"/>
  <c r="O45" i="5" a="1"/>
  <c r="O45" i="5" s="1"/>
  <c r="N45" i="5" a="1"/>
  <c r="N45" i="5" s="1"/>
  <c r="M45" i="5" a="1"/>
  <c r="M45" i="5" s="1"/>
  <c r="R43" i="5" a="1"/>
  <c r="R43" i="5" s="1"/>
  <c r="P43" i="5" a="1"/>
  <c r="P43" i="5" s="1"/>
  <c r="O43" i="5" a="1"/>
  <c r="O43" i="5" s="1"/>
  <c r="N43" i="5" a="1"/>
  <c r="N43" i="5" s="1"/>
  <c r="M43" i="5" a="1"/>
  <c r="M43" i="5" s="1"/>
  <c r="R42" i="5" a="1"/>
  <c r="R42" i="5" s="1"/>
  <c r="D39" i="6" s="1"/>
  <c r="P42" i="5" a="1"/>
  <c r="P42" i="5" s="1"/>
  <c r="O42" i="5" a="1"/>
  <c r="O42" i="5" s="1"/>
  <c r="N42" i="5" a="1"/>
  <c r="N42" i="5" s="1"/>
  <c r="M42" i="5" a="1"/>
  <c r="M42" i="5" s="1"/>
  <c r="D44" i="5"/>
  <c r="R41" i="5"/>
  <c r="C39" i="6" s="1"/>
  <c r="P41" i="5" a="1"/>
  <c r="P41" i="5" s="1"/>
  <c r="O41" i="5" a="1"/>
  <c r="O41" i="5" s="1"/>
  <c r="N41" i="5" a="1"/>
  <c r="N41" i="5" s="1"/>
  <c r="M41" i="5" a="1"/>
  <c r="M41" i="5" s="1"/>
  <c r="R39" i="5" a="1"/>
  <c r="R39" i="5" s="1"/>
  <c r="E101" i="6" s="1"/>
  <c r="P39" i="5" a="1"/>
  <c r="P39" i="5" s="1"/>
  <c r="O39" i="5" a="1"/>
  <c r="O39" i="5" s="1"/>
  <c r="N39" i="5" a="1"/>
  <c r="N39" i="5" s="1"/>
  <c r="M39" i="5" a="1"/>
  <c r="M39" i="5" s="1"/>
  <c r="R38" i="5" a="1"/>
  <c r="R38" i="5" s="1"/>
  <c r="D101" i="6" s="1"/>
  <c r="P38" i="5" a="1"/>
  <c r="P38" i="5" s="1"/>
  <c r="O38" i="5" a="1"/>
  <c r="O38" i="5" s="1"/>
  <c r="N38" i="5" a="1"/>
  <c r="N38" i="5" s="1"/>
  <c r="M38" i="5" a="1"/>
  <c r="M38" i="5" s="1"/>
  <c r="R37" i="5"/>
  <c r="C47" i="6" s="1"/>
  <c r="P37" i="5" a="1"/>
  <c r="P37" i="5" s="1"/>
  <c r="O37" i="5" a="1"/>
  <c r="O37" i="5" s="1"/>
  <c r="N37" i="5" a="1"/>
  <c r="N37" i="5" s="1"/>
  <c r="M37" i="5" a="1"/>
  <c r="M37" i="5" s="1"/>
  <c r="R35" i="5" a="1"/>
  <c r="R35" i="5" s="1"/>
  <c r="E95" i="6" s="1"/>
  <c r="P35" i="5" a="1"/>
  <c r="P35" i="5" s="1"/>
  <c r="O35" i="5" a="1"/>
  <c r="O35" i="5" s="1"/>
  <c r="N35" i="5" a="1"/>
  <c r="N35" i="5" s="1"/>
  <c r="M35" i="5" a="1"/>
  <c r="M35" i="5" s="1"/>
  <c r="R34" i="5" a="1"/>
  <c r="R34" i="5" s="1"/>
  <c r="D41" i="6" s="1"/>
  <c r="P34" i="5" a="1"/>
  <c r="P34" i="5" s="1"/>
  <c r="O34" i="5" a="1"/>
  <c r="O34" i="5" s="1"/>
  <c r="N34" i="5" a="1"/>
  <c r="N34" i="5" s="1"/>
  <c r="M34" i="5" a="1"/>
  <c r="M34" i="5" s="1"/>
  <c r="H36" i="5"/>
  <c r="D36" i="5"/>
  <c r="R33" i="5"/>
  <c r="C41" i="6" s="1"/>
  <c r="P33" i="5" a="1"/>
  <c r="P33" i="5" s="1"/>
  <c r="O33" i="5" a="1"/>
  <c r="O33" i="5" s="1"/>
  <c r="N33" i="5" a="1"/>
  <c r="N33" i="5" s="1"/>
  <c r="M33" i="5" a="1"/>
  <c r="M33" i="5" s="1"/>
  <c r="R31" i="5" a="1"/>
  <c r="R31" i="5" s="1"/>
  <c r="E98" i="6" s="1"/>
  <c r="P31" i="5" a="1"/>
  <c r="P31" i="5" s="1"/>
  <c r="O31" i="5" a="1"/>
  <c r="O31" i="5" s="1"/>
  <c r="N31" i="5" a="1"/>
  <c r="N31" i="5" s="1"/>
  <c r="M31" i="5" a="1"/>
  <c r="M31" i="5" s="1"/>
  <c r="R30" i="5" a="1"/>
  <c r="R30" i="5" s="1"/>
  <c r="D98" i="6" s="1"/>
  <c r="P30" i="5" a="1"/>
  <c r="P30" i="5" s="1"/>
  <c r="O30" i="5" a="1"/>
  <c r="O30" i="5" s="1"/>
  <c r="N30" i="5" a="1"/>
  <c r="N30" i="5" s="1"/>
  <c r="M30" i="5" a="1"/>
  <c r="M30" i="5" s="1"/>
  <c r="R29" i="5"/>
  <c r="C44" i="6" s="1"/>
  <c r="P29" i="5" a="1"/>
  <c r="P29" i="5" s="1"/>
  <c r="O29" i="5" a="1"/>
  <c r="O29" i="5" s="1"/>
  <c r="N29" i="5" a="1"/>
  <c r="N29" i="5" s="1"/>
  <c r="M29" i="5" a="1"/>
  <c r="M29" i="5" s="1"/>
  <c r="R27" i="5" a="1"/>
  <c r="R27" i="5" s="1"/>
  <c r="E45" i="6" s="1"/>
  <c r="P27" i="5" a="1"/>
  <c r="P27" i="5" s="1"/>
  <c r="O27" i="5" a="1"/>
  <c r="O27" i="5" s="1"/>
  <c r="N27" i="5" a="1"/>
  <c r="N27" i="5" s="1"/>
  <c r="M27" i="5" a="1"/>
  <c r="M27" i="5" s="1"/>
  <c r="R26" i="5" a="1"/>
  <c r="R26" i="5" s="1"/>
  <c r="D45" i="6" s="1"/>
  <c r="P26" i="5" a="1"/>
  <c r="P26" i="5" s="1"/>
  <c r="O26" i="5" a="1"/>
  <c r="O26" i="5" s="1"/>
  <c r="N26" i="5" a="1"/>
  <c r="N26" i="5" s="1"/>
  <c r="M26" i="5" a="1"/>
  <c r="M26" i="5" s="1"/>
  <c r="H28" i="5"/>
  <c r="R25" i="5"/>
  <c r="C99" i="6" s="1"/>
  <c r="P25" i="5" a="1"/>
  <c r="P25" i="5" s="1"/>
  <c r="O25" i="5" a="1"/>
  <c r="O25" i="5" s="1"/>
  <c r="N25" i="5" a="1"/>
  <c r="N25" i="5" s="1"/>
  <c r="M25" i="5" a="1"/>
  <c r="M25" i="5" s="1"/>
  <c r="R23" i="5" a="1"/>
  <c r="R23" i="5" s="1"/>
  <c r="E31" i="6" s="1"/>
  <c r="P23" i="5" a="1"/>
  <c r="P23" i="5" s="1"/>
  <c r="O23" i="5" a="1"/>
  <c r="O23" i="5" s="1"/>
  <c r="N23" i="5" a="1"/>
  <c r="N23" i="5" s="1"/>
  <c r="M23" i="5" a="1"/>
  <c r="M23" i="5" s="1"/>
  <c r="R22" i="5" a="1"/>
  <c r="R22" i="5" s="1"/>
  <c r="D31" i="6" s="1"/>
  <c r="P22" i="5" a="1"/>
  <c r="P22" i="5" s="1"/>
  <c r="O22" i="5" a="1"/>
  <c r="O22" i="5" s="1"/>
  <c r="N22" i="5" a="1"/>
  <c r="N22" i="5" s="1"/>
  <c r="M22" i="5" a="1"/>
  <c r="M22" i="5" s="1"/>
  <c r="R21" i="5"/>
  <c r="C85" i="6" s="1"/>
  <c r="G85" i="6" s="1"/>
  <c r="P21" i="5" a="1"/>
  <c r="P21" i="5" s="1"/>
  <c r="O21" i="5" a="1"/>
  <c r="O21" i="5" s="1"/>
  <c r="N21" i="5" a="1"/>
  <c r="N21" i="5" s="1"/>
  <c r="M21" i="5" a="1"/>
  <c r="M21" i="5" s="1"/>
  <c r="R19" i="5" a="1"/>
  <c r="R19" i="5" s="1"/>
  <c r="E80" i="6" s="1"/>
  <c r="P19" i="5" a="1"/>
  <c r="P19" i="5" s="1"/>
  <c r="O19" i="5" a="1"/>
  <c r="O19" i="5" s="1"/>
  <c r="N19" i="5" a="1"/>
  <c r="N19" i="5" s="1"/>
  <c r="M19" i="5" a="1"/>
  <c r="M19" i="5" s="1"/>
  <c r="R18" i="5" a="1"/>
  <c r="R18" i="5" s="1"/>
  <c r="D80" i="6" s="1"/>
  <c r="P18" i="5" a="1"/>
  <c r="P18" i="5" s="1"/>
  <c r="O18" i="5" a="1"/>
  <c r="O18" i="5" s="1"/>
  <c r="N18" i="5" a="1"/>
  <c r="N18" i="5" s="1"/>
  <c r="M18" i="5" a="1"/>
  <c r="M18" i="5" s="1"/>
  <c r="R17" i="5"/>
  <c r="C26" i="6" s="1"/>
  <c r="P17" i="5" a="1"/>
  <c r="P17" i="5" s="1"/>
  <c r="O17" i="5" a="1"/>
  <c r="O17" i="5" s="1"/>
  <c r="N17" i="5" a="1"/>
  <c r="N17" i="5" s="1"/>
  <c r="M17" i="5" a="1"/>
  <c r="M17" i="5" s="1"/>
  <c r="R15" i="5" a="1"/>
  <c r="R15" i="5" s="1"/>
  <c r="E30" i="6" s="1"/>
  <c r="P15" i="5" a="1"/>
  <c r="P15" i="5" s="1"/>
  <c r="O15" i="5" a="1"/>
  <c r="O15" i="5" s="1"/>
  <c r="N15" i="5" a="1"/>
  <c r="N15" i="5" s="1"/>
  <c r="M15" i="5" a="1"/>
  <c r="M15" i="5" s="1"/>
  <c r="R14" i="5" a="1"/>
  <c r="R14" i="5" s="1"/>
  <c r="D30" i="6" s="1"/>
  <c r="P14" i="5" a="1"/>
  <c r="P14" i="5" s="1"/>
  <c r="O14" i="5" a="1"/>
  <c r="O14" i="5" s="1"/>
  <c r="N14" i="5" a="1"/>
  <c r="N14" i="5" s="1"/>
  <c r="M14" i="5" a="1"/>
  <c r="M14" i="5" s="1"/>
  <c r="H16" i="5"/>
  <c r="R13" i="5"/>
  <c r="C84" i="6" s="1"/>
  <c r="G84" i="6" s="1"/>
  <c r="P13" i="5" a="1"/>
  <c r="P13" i="5" s="1"/>
  <c r="O13" i="5" a="1"/>
  <c r="O13" i="5" s="1"/>
  <c r="N13" i="5" a="1"/>
  <c r="N13" i="5" s="1"/>
  <c r="M13" i="5" a="1"/>
  <c r="M13" i="5" s="1"/>
  <c r="R11" i="5" a="1"/>
  <c r="R11" i="5" s="1"/>
  <c r="E28" i="6" s="1"/>
  <c r="P11" i="5" a="1"/>
  <c r="P11" i="5" s="1"/>
  <c r="O11" i="5" a="1"/>
  <c r="O11" i="5" s="1"/>
  <c r="N11" i="5" a="1"/>
  <c r="N11" i="5" s="1"/>
  <c r="M11" i="5" a="1"/>
  <c r="M11" i="5" s="1"/>
  <c r="R10" i="5" a="1"/>
  <c r="R10" i="5" s="1"/>
  <c r="D82" i="6" s="1"/>
  <c r="P10" i="5" a="1"/>
  <c r="P10" i="5" s="1"/>
  <c r="O10" i="5" a="1"/>
  <c r="O10" i="5" s="1"/>
  <c r="N10" i="5" a="1"/>
  <c r="N10" i="5" s="1"/>
  <c r="M10" i="5" a="1"/>
  <c r="M10" i="5" s="1"/>
  <c r="R9" i="5"/>
  <c r="C28" i="6" s="1"/>
  <c r="P9" i="5" a="1"/>
  <c r="P9" i="5" s="1"/>
  <c r="O9" i="5" a="1"/>
  <c r="O9" i="5" s="1"/>
  <c r="N9" i="5" a="1"/>
  <c r="N9" i="5" s="1"/>
  <c r="M9" i="5" a="1"/>
  <c r="M9" i="5" s="1"/>
  <c r="R7" i="5" a="1"/>
  <c r="R7" i="5" s="1"/>
  <c r="E36" i="6" s="1"/>
  <c r="P7" i="5" a="1"/>
  <c r="P7" i="5" s="1"/>
  <c r="N7" i="5" a="1"/>
  <c r="N7" i="5" s="1"/>
  <c r="M7" i="5" a="1"/>
  <c r="M7" i="5" s="1"/>
  <c r="R6" i="5" a="1"/>
  <c r="R6" i="5" s="1"/>
  <c r="D90" i="6" s="1"/>
  <c r="P6" i="5" a="1"/>
  <c r="P6" i="5" s="1"/>
  <c r="O6" i="5" a="1"/>
  <c r="O6" i="5" s="1"/>
  <c r="N6" i="5" a="1"/>
  <c r="N6" i="5" s="1"/>
  <c r="M6" i="5" a="1"/>
  <c r="M6" i="5" s="1"/>
  <c r="R5" i="5"/>
  <c r="C36" i="6" s="1"/>
  <c r="P5" i="5" a="1"/>
  <c r="P5" i="5" s="1"/>
  <c r="O5" i="5" a="1"/>
  <c r="O5" i="5" s="1"/>
  <c r="N5" i="5" a="1"/>
  <c r="N5" i="5" s="1"/>
  <c r="M5" i="5" a="1"/>
  <c r="M5" i="5" s="1"/>
  <c r="P115" i="5"/>
  <c r="O115" i="5"/>
  <c r="M115" i="5"/>
  <c r="K115" i="5"/>
  <c r="J115" i="5"/>
  <c r="I115" i="5"/>
  <c r="G115" i="5"/>
  <c r="F115" i="5"/>
  <c r="E115" i="5"/>
  <c r="D115" i="5"/>
  <c r="D32" i="5"/>
  <c r="J112" i="5"/>
  <c r="I112" i="5"/>
  <c r="H112" i="5"/>
  <c r="I108" i="5"/>
  <c r="E108" i="5"/>
  <c r="K108" i="5"/>
  <c r="J108" i="5"/>
  <c r="H108" i="5"/>
  <c r="G108" i="5"/>
  <c r="F108" i="5"/>
  <c r="G104" i="5"/>
  <c r="F104" i="5"/>
  <c r="E104" i="5"/>
  <c r="E100" i="5"/>
  <c r="K100" i="5"/>
  <c r="J100" i="5"/>
  <c r="I100" i="5"/>
  <c r="G100" i="5"/>
  <c r="F100" i="5"/>
  <c r="F96" i="5"/>
  <c r="E96" i="5"/>
  <c r="K92" i="5"/>
  <c r="J92" i="5"/>
  <c r="F92" i="5"/>
  <c r="E92" i="5"/>
  <c r="D92" i="5"/>
  <c r="J88" i="5"/>
  <c r="F88" i="5"/>
  <c r="D88" i="5"/>
  <c r="J84" i="5"/>
  <c r="F84" i="5"/>
  <c r="K80" i="5"/>
  <c r="J80" i="5"/>
  <c r="F80" i="5"/>
  <c r="D80" i="5"/>
  <c r="J72" i="5"/>
  <c r="G72" i="5"/>
  <c r="F72" i="5"/>
  <c r="D72" i="5"/>
  <c r="J68" i="5"/>
  <c r="I68" i="5"/>
  <c r="F68" i="5"/>
  <c r="E68" i="5"/>
  <c r="I64" i="5"/>
  <c r="J64" i="5"/>
  <c r="F64" i="5"/>
  <c r="J60" i="5"/>
  <c r="F60" i="5"/>
  <c r="E56" i="5"/>
  <c r="J33" i="3" a="1"/>
  <c r="J33" i="3" s="1"/>
  <c r="I33" i="3" a="1"/>
  <c r="I33" i="3" s="1"/>
  <c r="H33" i="3" a="1"/>
  <c r="H33" i="3" s="1"/>
  <c r="G33" i="3" a="1"/>
  <c r="G33" i="3" s="1"/>
  <c r="F33" i="3" a="1"/>
  <c r="F33" i="3" s="1"/>
  <c r="E33" i="3" a="1"/>
  <c r="E33" i="3" s="1"/>
  <c r="D33" i="3" a="1"/>
  <c r="D33" i="3" s="1"/>
  <c r="C33" i="3" a="1"/>
  <c r="C33" i="3" s="1"/>
  <c r="I5" i="3" a="1"/>
  <c r="I5" i="3" s="1"/>
  <c r="L8" i="6" s="1"/>
  <c r="R33" i="3" a="1"/>
  <c r="R33" i="3" s="1"/>
  <c r="X26" i="6" s="1"/>
  <c r="O33" i="3" a="1"/>
  <c r="O33" i="3" s="1"/>
  <c r="N33" i="3" a="1"/>
  <c r="N33" i="3" s="1"/>
  <c r="M33" i="3" a="1"/>
  <c r="M33" i="3" s="1"/>
  <c r="L33" i="3" a="1"/>
  <c r="L33" i="3" s="1"/>
  <c r="O26" i="3" a="1"/>
  <c r="O26" i="3" s="1"/>
  <c r="O25" i="3" a="1"/>
  <c r="O25" i="3" s="1"/>
  <c r="O24" i="3" a="1"/>
  <c r="O24" i="3" s="1"/>
  <c r="O23" i="3" a="1"/>
  <c r="O23" i="3" s="1"/>
  <c r="N26" i="3" a="1"/>
  <c r="N26" i="3" s="1"/>
  <c r="N25" i="3" a="1"/>
  <c r="N25" i="3" s="1"/>
  <c r="N24" i="3" a="1"/>
  <c r="N24" i="3" s="1"/>
  <c r="N23" i="3" a="1"/>
  <c r="N23" i="3" s="1"/>
  <c r="M26" i="3" a="1"/>
  <c r="M26" i="3" s="1"/>
  <c r="M25" i="3" a="1"/>
  <c r="M25" i="3" s="1"/>
  <c r="M24" i="3" a="1"/>
  <c r="M24" i="3" s="1"/>
  <c r="M23" i="3" a="1"/>
  <c r="M23" i="3" s="1"/>
  <c r="L26" i="3" a="1"/>
  <c r="L26" i="3" s="1"/>
  <c r="L25" i="3" a="1"/>
  <c r="L25" i="3" s="1"/>
  <c r="L24" i="3" a="1"/>
  <c r="L24" i="3" s="1"/>
  <c r="L23" i="3" a="1"/>
  <c r="L23" i="3" s="1"/>
  <c r="J26" i="3" a="1"/>
  <c r="J26" i="3" s="1"/>
  <c r="J25" i="3" a="1"/>
  <c r="J25" i="3" s="1"/>
  <c r="J24" i="3" a="1"/>
  <c r="J24" i="3" s="1"/>
  <c r="I24" i="3" s="1" a="1"/>
  <c r="I24" i="3" s="1"/>
  <c r="J23" i="3" a="1"/>
  <c r="J23" i="3" s="1"/>
  <c r="I26" i="3" a="1"/>
  <c r="I26" i="3" s="1"/>
  <c r="I25" i="3" a="1"/>
  <c r="I25" i="3" s="1"/>
  <c r="I23" i="3" a="1"/>
  <c r="I23" i="3" s="1"/>
  <c r="R26" i="3" a="1"/>
  <c r="R26" i="3" s="1"/>
  <c r="R25" i="3" a="1"/>
  <c r="R25" i="3" s="1"/>
  <c r="R24" i="3" a="1"/>
  <c r="R24" i="3" s="1"/>
  <c r="R23" i="3" a="1"/>
  <c r="R23" i="3" s="1"/>
  <c r="H26" i="3" a="1"/>
  <c r="H26" i="3" s="1"/>
  <c r="H25" i="3" a="1"/>
  <c r="H25" i="3" s="1"/>
  <c r="H24" i="3" a="1"/>
  <c r="H24" i="3" s="1"/>
  <c r="H23" i="3" a="1"/>
  <c r="H23" i="3" s="1"/>
  <c r="G26" i="3" a="1"/>
  <c r="G26" i="3" s="1"/>
  <c r="G25" i="3" a="1"/>
  <c r="G25" i="3" s="1"/>
  <c r="G24" i="3" a="1"/>
  <c r="G24" i="3" s="1"/>
  <c r="G23" i="3" a="1"/>
  <c r="G23" i="3" s="1"/>
  <c r="F26" i="3" a="1"/>
  <c r="F26" i="3" s="1"/>
  <c r="F25" i="3" a="1"/>
  <c r="F25" i="3" s="1"/>
  <c r="F24" i="3" a="1"/>
  <c r="F24" i="3" s="1"/>
  <c r="F23" i="3" a="1"/>
  <c r="F23" i="3" s="1"/>
  <c r="E26" i="3" a="1"/>
  <c r="E26" i="3" s="1"/>
  <c r="E25" i="3" a="1"/>
  <c r="E25" i="3" s="1"/>
  <c r="E24" i="3" a="1"/>
  <c r="E24" i="3" s="1"/>
  <c r="E23" i="3" a="1"/>
  <c r="E23" i="3" s="1"/>
  <c r="D26" i="3" a="1"/>
  <c r="D26" i="3" s="1"/>
  <c r="D25" i="3" a="1"/>
  <c r="D25" i="3" s="1"/>
  <c r="D24" i="3" a="1"/>
  <c r="D24" i="3" s="1"/>
  <c r="D23" i="3" a="1"/>
  <c r="D23" i="3" s="1"/>
  <c r="C26" i="3" a="1"/>
  <c r="C26" i="3" s="1"/>
  <c r="C25" i="3" a="1"/>
  <c r="C25" i="3" s="1"/>
  <c r="C24" i="3" a="1"/>
  <c r="C24" i="3" s="1"/>
  <c r="C23" i="3" a="1"/>
  <c r="C23" i="3" s="1"/>
  <c r="R16" i="3" a="1"/>
  <c r="R16" i="3" s="1"/>
  <c r="C4" i="6" s="1"/>
  <c r="R15" i="3" a="1"/>
  <c r="R15" i="3" s="1"/>
  <c r="C3" i="6" s="1"/>
  <c r="O16" i="3" a="1"/>
  <c r="O16" i="3" s="1"/>
  <c r="O15" i="3" a="1"/>
  <c r="O15" i="3" s="1"/>
  <c r="N16" i="3" a="1"/>
  <c r="N16" i="3" s="1"/>
  <c r="N15" i="3" a="1"/>
  <c r="N15" i="3" s="1"/>
  <c r="M16" i="3" a="1"/>
  <c r="M16" i="3" s="1"/>
  <c r="M15" i="3" a="1"/>
  <c r="M15" i="3" s="1"/>
  <c r="L16" i="3" a="1"/>
  <c r="L16" i="3" s="1"/>
  <c r="L15" i="3" a="1"/>
  <c r="L15" i="3" s="1"/>
  <c r="J16" i="3" a="1"/>
  <c r="J16" i="3" s="1"/>
  <c r="J15" i="3" a="1"/>
  <c r="J15" i="3" s="1"/>
  <c r="I16" i="3" a="1"/>
  <c r="I16" i="3" s="1"/>
  <c r="I15" i="3" a="1"/>
  <c r="I15" i="3" s="1"/>
  <c r="H16" i="3" a="1"/>
  <c r="H16" i="3" s="1"/>
  <c r="H15" i="3" a="1"/>
  <c r="H15" i="3" s="1"/>
  <c r="G16" i="3" a="1"/>
  <c r="G16" i="3" s="1"/>
  <c r="G15" i="3" a="1"/>
  <c r="G15" i="3" s="1"/>
  <c r="F16" i="3" a="1"/>
  <c r="F16" i="3" s="1"/>
  <c r="F15" i="3" a="1"/>
  <c r="F15" i="3" s="1"/>
  <c r="E16" i="3" a="1"/>
  <c r="E16" i="3" s="1"/>
  <c r="E15" i="3" a="1"/>
  <c r="E15" i="3" s="1"/>
  <c r="D16" i="3" a="1"/>
  <c r="D16" i="3" s="1"/>
  <c r="R14" i="3" a="1"/>
  <c r="R14" i="3" s="1"/>
  <c r="C2" i="6" s="1"/>
  <c r="O14" i="3" a="1"/>
  <c r="O14" i="3" s="1"/>
  <c r="N14" i="3" a="1"/>
  <c r="N14" i="3" s="1"/>
  <c r="M14" i="3" a="1"/>
  <c r="M14" i="3" s="1"/>
  <c r="L14" i="3" a="1"/>
  <c r="L14" i="3" s="1"/>
  <c r="J14" i="3" a="1"/>
  <c r="J14" i="3" s="1"/>
  <c r="I14" i="3" a="1"/>
  <c r="I14" i="3" s="1"/>
  <c r="H14" i="3" a="1"/>
  <c r="H14" i="3" s="1"/>
  <c r="G14" i="3" a="1"/>
  <c r="G14" i="3" s="1"/>
  <c r="F14" i="3" a="1"/>
  <c r="F14" i="3" s="1"/>
  <c r="E14" i="3" a="1"/>
  <c r="E14" i="3" s="1"/>
  <c r="D14" i="3" a="1"/>
  <c r="D14" i="3" s="1"/>
  <c r="C14" i="3" a="1"/>
  <c r="C14" i="3" s="1"/>
  <c r="D15" i="3" a="1"/>
  <c r="D15" i="3" s="1"/>
  <c r="C16" i="3" a="1"/>
  <c r="C16" i="3" s="1"/>
  <c r="C15" i="3" a="1"/>
  <c r="C15" i="3" s="1"/>
  <c r="O7" i="3" a="1"/>
  <c r="O7" i="3" s="1"/>
  <c r="O6" i="3" a="1"/>
  <c r="O6" i="3" s="1"/>
  <c r="O5" i="3" a="1"/>
  <c r="O5" i="3" s="1"/>
  <c r="X55" i="6" s="1"/>
  <c r="P5" i="3" a="1"/>
  <c r="P5" i="3" s="1"/>
  <c r="R7" i="3" a="1"/>
  <c r="R7" i="3" s="1"/>
  <c r="X4" i="6" s="1"/>
  <c r="P7" i="3" a="1"/>
  <c r="P7" i="3" s="1"/>
  <c r="N7" i="3" a="1"/>
  <c r="N7" i="3" s="1"/>
  <c r="M7" i="3" a="1"/>
  <c r="M7" i="3" s="1"/>
  <c r="L7" i="3" a="1"/>
  <c r="L7" i="3" s="1"/>
  <c r="J7" i="3" a="1"/>
  <c r="J7" i="3" s="1"/>
  <c r="C61" i="6" s="1"/>
  <c r="I7" i="3" a="1"/>
  <c r="I7" i="3" s="1"/>
  <c r="C60" i="6" s="1"/>
  <c r="H7" i="3" a="1"/>
  <c r="H7" i="3" s="1"/>
  <c r="C59" i="6" s="1"/>
  <c r="G7" i="3" a="1"/>
  <c r="G7" i="3" s="1"/>
  <c r="F7" i="3" a="1"/>
  <c r="F7" i="3" s="1"/>
  <c r="C58" i="6" s="1"/>
  <c r="E7" i="3" a="1"/>
  <c r="E7" i="3" s="1"/>
  <c r="C57" i="6" s="1"/>
  <c r="D7" i="3" a="1"/>
  <c r="D7" i="3" s="1"/>
  <c r="C56" i="6" s="1"/>
  <c r="C7" i="3" a="1"/>
  <c r="C7" i="3" s="1"/>
  <c r="C55" i="6" s="1"/>
  <c r="C5" i="3" a="1"/>
  <c r="C5" i="3" s="1"/>
  <c r="L3" i="6" s="1"/>
  <c r="C6" i="3" a="1"/>
  <c r="C6" i="3" s="1"/>
  <c r="R6" i="3" a="1"/>
  <c r="R6" i="3" s="1"/>
  <c r="X3" i="6" s="1"/>
  <c r="P6" i="3" a="1"/>
  <c r="P6" i="3" s="1"/>
  <c r="N6" i="3" a="1"/>
  <c r="N6" i="3" s="1"/>
  <c r="M6" i="3" a="1"/>
  <c r="M6" i="3" s="1"/>
  <c r="L6" i="3" a="1"/>
  <c r="L6" i="3" s="1"/>
  <c r="J6" i="3" a="1"/>
  <c r="J6" i="3" s="1"/>
  <c r="I6" i="3" a="1"/>
  <c r="I6" i="3" s="1"/>
  <c r="H6" i="3" a="1"/>
  <c r="H6" i="3" s="1"/>
  <c r="G6" i="3" a="1"/>
  <c r="G6" i="3" s="1"/>
  <c r="F6" i="3" a="1"/>
  <c r="F6" i="3" s="1"/>
  <c r="E6" i="3" a="1"/>
  <c r="E6" i="3" s="1"/>
  <c r="D6" i="3" a="1"/>
  <c r="D6" i="3" s="1"/>
  <c r="R5" i="3" a="1"/>
  <c r="R5" i="3" s="1"/>
  <c r="X2" i="6" s="1"/>
  <c r="N5" i="3" a="1"/>
  <c r="N5" i="3" s="1"/>
  <c r="X54" i="6" s="1"/>
  <c r="M5" i="3" a="1"/>
  <c r="M5" i="3" s="1"/>
  <c r="X53" i="6" s="1"/>
  <c r="L5" i="3" a="1"/>
  <c r="L5" i="3" s="1"/>
  <c r="X52" i="6" s="1"/>
  <c r="J5" i="3" a="1"/>
  <c r="J5" i="3" s="1"/>
  <c r="L9" i="6" s="1"/>
  <c r="H5" i="3" a="1"/>
  <c r="H5" i="3" s="1"/>
  <c r="L7" i="6" s="1"/>
  <c r="G5" i="3" a="1"/>
  <c r="G5" i="3" s="1"/>
  <c r="F5" i="3" a="1"/>
  <c r="F5" i="3" s="1"/>
  <c r="L6" i="6" s="1"/>
  <c r="E5" i="3" a="1"/>
  <c r="E5" i="3" s="1"/>
  <c r="L5" i="6" s="1"/>
  <c r="D5" i="3" a="1"/>
  <c r="D5" i="3" s="1"/>
  <c r="L4" i="6" s="1"/>
  <c r="H48" i="5" l="1"/>
  <c r="G77" i="6"/>
  <c r="F48" i="5"/>
  <c r="G96" i="6"/>
  <c r="C80" i="6"/>
  <c r="G80" i="6" s="1"/>
  <c r="G89" i="6"/>
  <c r="G97" i="6"/>
  <c r="G99" i="6"/>
  <c r="G92" i="6"/>
  <c r="G100" i="6"/>
  <c r="G94" i="6"/>
  <c r="R112" i="5"/>
  <c r="M80" i="5"/>
  <c r="O88" i="5"/>
  <c r="N104" i="5"/>
  <c r="O104" i="5"/>
  <c r="E48" i="5"/>
  <c r="N96" i="5"/>
  <c r="M72" i="5"/>
  <c r="O56" i="5"/>
  <c r="M96" i="5"/>
  <c r="O80" i="5"/>
  <c r="J48" i="5"/>
  <c r="M56" i="5"/>
  <c r="O64" i="5"/>
  <c r="K48" i="5"/>
  <c r="G48" i="5"/>
  <c r="G24" i="5"/>
  <c r="G28" i="5"/>
  <c r="K76" i="5"/>
  <c r="J76" i="5"/>
  <c r="P64" i="5"/>
  <c r="R64" i="5"/>
  <c r="O96" i="5"/>
  <c r="M76" i="5"/>
  <c r="R56" i="5"/>
  <c r="N64" i="5"/>
  <c r="R52" i="5"/>
  <c r="M68" i="5"/>
  <c r="N72" i="5"/>
  <c r="P80" i="5"/>
  <c r="R84" i="5"/>
  <c r="R88" i="5"/>
  <c r="K72" i="5"/>
  <c r="D100" i="5"/>
  <c r="R72" i="5"/>
  <c r="M44" i="5"/>
  <c r="M64" i="5"/>
  <c r="N32" i="5"/>
  <c r="I88" i="5"/>
  <c r="C30" i="6"/>
  <c r="C38" i="6"/>
  <c r="C46" i="6"/>
  <c r="D26" i="6"/>
  <c r="D34" i="6"/>
  <c r="D42" i="6"/>
  <c r="E24" i="6"/>
  <c r="E32" i="6"/>
  <c r="E41" i="6"/>
  <c r="E49" i="6"/>
  <c r="C79" i="6"/>
  <c r="G79" i="6" s="1"/>
  <c r="E81" i="6"/>
  <c r="D84" i="6"/>
  <c r="C87" i="6"/>
  <c r="G87" i="6" s="1"/>
  <c r="E89" i="6"/>
  <c r="D92" i="6"/>
  <c r="C95" i="6"/>
  <c r="G95" i="6" s="1"/>
  <c r="E97" i="6"/>
  <c r="D100" i="6"/>
  <c r="C103" i="6"/>
  <c r="G103" i="6" s="1"/>
  <c r="G88" i="5"/>
  <c r="C23" i="6"/>
  <c r="C31" i="6"/>
  <c r="C40" i="6"/>
  <c r="C45" i="6"/>
  <c r="D27" i="6"/>
  <c r="D35" i="6"/>
  <c r="D43" i="6"/>
  <c r="E25" i="6"/>
  <c r="E33" i="6"/>
  <c r="E42" i="6"/>
  <c r="D79" i="6"/>
  <c r="C82" i="6"/>
  <c r="G82" i="6" s="1"/>
  <c r="E84" i="6"/>
  <c r="D87" i="6"/>
  <c r="C90" i="6"/>
  <c r="G90" i="6" s="1"/>
  <c r="E92" i="6"/>
  <c r="D95" i="6"/>
  <c r="C98" i="6"/>
  <c r="G98" i="6" s="1"/>
  <c r="E100" i="6"/>
  <c r="D103" i="6"/>
  <c r="C24" i="6"/>
  <c r="C32" i="6"/>
  <c r="D28" i="6"/>
  <c r="D36" i="6"/>
  <c r="D44" i="6"/>
  <c r="E26" i="6"/>
  <c r="E34" i="6"/>
  <c r="C93" i="6"/>
  <c r="G93" i="6" s="1"/>
  <c r="C101" i="6"/>
  <c r="G101" i="6" s="1"/>
  <c r="O108" i="5"/>
  <c r="C42" i="6"/>
  <c r="D29" i="6"/>
  <c r="D37" i="6"/>
  <c r="D47" i="6"/>
  <c r="E44" i="6"/>
  <c r="D77" i="6"/>
  <c r="E82" i="6"/>
  <c r="D85" i="6"/>
  <c r="C88" i="6"/>
  <c r="G88" i="6" s="1"/>
  <c r="E90" i="6"/>
  <c r="D93" i="6"/>
  <c r="X51" i="6"/>
  <c r="Y55" i="6" s="1"/>
  <c r="O20" i="5"/>
  <c r="M48" i="5"/>
  <c r="G92" i="5"/>
  <c r="F76" i="5"/>
  <c r="C43" i="6"/>
  <c r="D48" i="6"/>
  <c r="E47" i="6"/>
  <c r="E77" i="6"/>
  <c r="C83" i="6"/>
  <c r="G83" i="6" s="1"/>
  <c r="E85" i="6"/>
  <c r="C91" i="6"/>
  <c r="G91" i="6" s="1"/>
  <c r="H80" i="5"/>
  <c r="H92" i="5"/>
  <c r="C27" i="6"/>
  <c r="C35" i="6"/>
  <c r="E29" i="6"/>
  <c r="E37" i="6"/>
  <c r="E48" i="6"/>
  <c r="D83" i="6"/>
  <c r="D99" i="6"/>
  <c r="C102" i="6"/>
  <c r="G102" i="6" s="1"/>
  <c r="N24" i="5"/>
  <c r="R16" i="5"/>
  <c r="I92" i="5"/>
  <c r="D24" i="6"/>
  <c r="D32" i="6"/>
  <c r="D40" i="6"/>
  <c r="E99" i="6"/>
  <c r="H100" i="5"/>
  <c r="E40" i="6"/>
  <c r="D89" i="6"/>
  <c r="R12" i="5"/>
  <c r="M24" i="5"/>
  <c r="G12" i="5"/>
  <c r="E60" i="5"/>
  <c r="M16" i="5"/>
  <c r="O28" i="5"/>
  <c r="O44" i="5"/>
  <c r="P28" i="5"/>
  <c r="H64" i="5"/>
  <c r="M20" i="5"/>
  <c r="R100" i="5"/>
  <c r="I60" i="5"/>
  <c r="O24" i="5"/>
  <c r="M8" i="5"/>
  <c r="R40" i="5"/>
  <c r="N60" i="5"/>
  <c r="N92" i="5"/>
  <c r="N100" i="5"/>
  <c r="R108" i="5"/>
  <c r="E8" i="5"/>
  <c r="N12" i="5"/>
  <c r="R48" i="5"/>
  <c r="N56" i="5"/>
  <c r="O100" i="5"/>
  <c r="E64" i="5"/>
  <c r="P92" i="5"/>
  <c r="P12" i="5"/>
  <c r="O16" i="5"/>
  <c r="M32" i="5"/>
  <c r="O52" i="5"/>
  <c r="R60" i="5"/>
  <c r="O72" i="5"/>
  <c r="O84" i="5"/>
  <c r="R92" i="5"/>
  <c r="N108" i="5"/>
  <c r="H8" i="5"/>
  <c r="F12" i="5"/>
  <c r="P16" i="5"/>
  <c r="M100" i="5"/>
  <c r="P108" i="5"/>
  <c r="D8" i="5"/>
  <c r="N76" i="5"/>
  <c r="G76" i="5"/>
  <c r="E76" i="5"/>
  <c r="M52" i="5"/>
  <c r="O60" i="5"/>
  <c r="R68" i="5"/>
  <c r="O92" i="5"/>
  <c r="N52" i="5"/>
  <c r="P60" i="5"/>
  <c r="N84" i="5"/>
  <c r="M108" i="5"/>
  <c r="E12" i="5"/>
  <c r="D68" i="5"/>
  <c r="M40" i="5"/>
  <c r="H76" i="5"/>
  <c r="N68" i="5"/>
  <c r="P76" i="5"/>
  <c r="R32" i="5"/>
  <c r="M60" i="5"/>
  <c r="O68" i="5"/>
  <c r="R76" i="5"/>
  <c r="M92" i="5"/>
  <c r="K64" i="5"/>
  <c r="O32" i="5"/>
  <c r="M12" i="5"/>
  <c r="P32" i="5"/>
  <c r="M36" i="5"/>
  <c r="G68" i="5"/>
  <c r="R8" i="5"/>
  <c r="R20" i="5"/>
  <c r="M28" i="5"/>
  <c r="R44" i="5"/>
  <c r="O12" i="5"/>
  <c r="N28" i="5"/>
  <c r="O36" i="5"/>
  <c r="P48" i="5"/>
  <c r="K60" i="5"/>
  <c r="G64" i="5"/>
  <c r="G16" i="5"/>
  <c r="D60" i="5"/>
  <c r="I76" i="5"/>
  <c r="O40" i="5"/>
  <c r="N16" i="5"/>
  <c r="N40" i="5"/>
  <c r="K8" i="5"/>
  <c r="D16" i="5"/>
  <c r="R24" i="5"/>
  <c r="R28" i="5"/>
  <c r="N20" i="5"/>
  <c r="N44" i="5"/>
  <c r="K12" i="5"/>
  <c r="H12" i="5"/>
  <c r="G60" i="5"/>
  <c r="O8" i="5"/>
  <c r="F16" i="5"/>
  <c r="I8" i="5"/>
  <c r="I12" i="5"/>
  <c r="J12" i="5"/>
  <c r="E84" i="5"/>
  <c r="G8" i="5"/>
  <c r="E20" i="5"/>
  <c r="D40" i="5"/>
  <c r="D56" i="5"/>
  <c r="J44" i="5"/>
  <c r="N36" i="5"/>
  <c r="I36" i="5"/>
  <c r="C8" i="3"/>
  <c r="R36" i="3"/>
  <c r="D76" i="5"/>
  <c r="P20" i="5"/>
  <c r="P52" i="5"/>
  <c r="P84" i="5"/>
  <c r="P24" i="5"/>
  <c r="P56" i="5"/>
  <c r="P88" i="5"/>
  <c r="P36" i="5"/>
  <c r="P68" i="5"/>
  <c r="P100" i="5"/>
  <c r="P8" i="5"/>
  <c r="P40" i="5"/>
  <c r="P72" i="5"/>
  <c r="P104" i="5"/>
  <c r="N8" i="5"/>
  <c r="J16" i="5"/>
  <c r="F8" i="5"/>
  <c r="D12" i="5"/>
  <c r="J24" i="5"/>
  <c r="J32" i="5"/>
  <c r="H40" i="5"/>
  <c r="I48" i="5"/>
  <c r="H44" i="5"/>
  <c r="D28" i="5"/>
  <c r="N48" i="5"/>
  <c r="O48" i="5"/>
  <c r="R36" i="5"/>
  <c r="G44" i="5"/>
  <c r="P44" i="5"/>
  <c r="O76" i="5"/>
  <c r="K44" i="5"/>
  <c r="K68" i="5"/>
  <c r="E114" i="5"/>
  <c r="N114" i="5"/>
  <c r="F114" i="5"/>
  <c r="O114" i="5"/>
  <c r="I80" i="5"/>
  <c r="R80" i="5"/>
  <c r="K88" i="5"/>
  <c r="G96" i="5"/>
  <c r="P96" i="5"/>
  <c r="H104" i="5"/>
  <c r="K112" i="5"/>
  <c r="G114" i="5"/>
  <c r="P114" i="5"/>
  <c r="M88" i="5"/>
  <c r="H96" i="5"/>
  <c r="I104" i="5"/>
  <c r="R104" i="5"/>
  <c r="D112" i="5"/>
  <c r="M112" i="5"/>
  <c r="H114" i="5"/>
  <c r="E88" i="5"/>
  <c r="N88" i="5"/>
  <c r="I96" i="5"/>
  <c r="R96" i="5"/>
  <c r="J104" i="5"/>
  <c r="E112" i="5"/>
  <c r="N112" i="5"/>
  <c r="I114" i="5"/>
  <c r="J96" i="5"/>
  <c r="K104" i="5"/>
  <c r="F112" i="5"/>
  <c r="O112" i="5"/>
  <c r="J114" i="5"/>
  <c r="E80" i="5"/>
  <c r="N80" i="5"/>
  <c r="K96" i="5"/>
  <c r="D104" i="5"/>
  <c r="M104" i="5"/>
  <c r="G112" i="5"/>
  <c r="P112" i="5"/>
  <c r="K114" i="5"/>
  <c r="D84" i="5"/>
  <c r="H84" i="5"/>
  <c r="M84" i="5"/>
  <c r="D114" i="5"/>
  <c r="M114" i="5"/>
  <c r="L17" i="3"/>
  <c r="E17" i="3"/>
  <c r="N17" i="3"/>
  <c r="E36" i="3"/>
  <c r="L36" i="3"/>
  <c r="G17" i="3"/>
  <c r="F17" i="3"/>
  <c r="C36" i="3"/>
  <c r="I36" i="3"/>
  <c r="R17" i="3"/>
  <c r="H17" i="3"/>
  <c r="M17" i="3"/>
  <c r="G36" i="3"/>
  <c r="H36" i="3"/>
  <c r="F36" i="3"/>
  <c r="N36" i="3"/>
  <c r="M36" i="3"/>
  <c r="D36" i="3"/>
  <c r="D17" i="3"/>
  <c r="J36" i="3"/>
  <c r="O36" i="3"/>
  <c r="O17" i="3"/>
  <c r="J17" i="3"/>
  <c r="I17" i="3"/>
  <c r="C17" i="3"/>
  <c r="R8" i="3"/>
  <c r="P8" i="3"/>
  <c r="O8" i="3"/>
  <c r="N8" i="3"/>
  <c r="M8" i="3"/>
  <c r="L8" i="3"/>
  <c r="J8" i="3"/>
  <c r="G8" i="3"/>
  <c r="D8" i="3"/>
  <c r="I8" i="3"/>
  <c r="H8" i="3"/>
  <c r="F8" i="3"/>
  <c r="E8" i="3"/>
  <c r="Y52" i="6" l="1"/>
  <c r="Y54" i="6"/>
  <c r="Y53" i="6"/>
  <c r="E93" i="6"/>
  <c r="E3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<sst xmlns="http://schemas.openxmlformats.org/spreadsheetml/2006/main" count="27552" uniqueCount="3969">
  <si>
    <t>GLOSSARY - BREADCRUMB PROJECT - INVENTORY OF FOOD MARKETING STANDARDS IN THE EUROPEAN UNION</t>
  </si>
  <si>
    <t>SUPPLY CHAIN STAGE</t>
  </si>
  <si>
    <t>SOURCE</t>
  </si>
  <si>
    <t>WEBLINK</t>
  </si>
  <si>
    <r>
      <rPr>
        <b/>
        <sz val="14"/>
        <color theme="1"/>
        <rFont val="Calibri"/>
        <family val="2"/>
        <scheme val="minor"/>
      </rPr>
      <t>Primary Production:</t>
    </r>
    <r>
      <rPr>
        <sz val="14"/>
        <color theme="1"/>
        <rFont val="Calibri"/>
        <family val="2"/>
        <scheme val="minor"/>
      </rPr>
      <t xml:space="preserve"> The production, rearing or growing of primary products including harvesting, milking and farmed animal production prior to slaughter. It also includes hunting and fishing and the harvesting of wild products. Please note that the majority of material lost in primary production (pre-harvest losses, losses at harvest, animals dead before slaughter) is not regarded as food waste, as it has not been regarded as “food” yet.</t>
    </r>
  </si>
  <si>
    <t xml:space="preserve">Eurostat. (version of June 2022). Guidance on reporting of data on food waste and food waste prevention according to Commission Implementing Decision (EU) 2019/2000. Luxembourg: Publications Office of the European Union (p. 36). </t>
  </si>
  <si>
    <t>https://ec.europa.eu/eurostat/documents/342366/351811/Guidance+on+food+waste+reporting/5581b0a2-b09e-adc0-4e0a-b20062dfe564</t>
  </si>
  <si>
    <r>
      <rPr>
        <b/>
        <sz val="14"/>
        <color theme="1"/>
        <rFont val="Calibri"/>
        <family val="2"/>
        <scheme val="minor"/>
      </rPr>
      <t>Processing &amp; Manufacturing:</t>
    </r>
    <r>
      <rPr>
        <sz val="14"/>
        <color theme="1"/>
        <rFont val="Calibri"/>
        <family val="2"/>
        <scheme val="minor"/>
      </rPr>
      <t xml:space="preserve"> This stage of the food supply chain refers to the first processing and manufactoring of food after the primary production and before the retail and other distribution stage of the food supply chain. It is usually the only phase where the slaughtering of animals is foreseen and admitted by law. It is also the phase in which food is transformed, canned, packed and finally made available for retail and distribution.</t>
    </r>
  </si>
  <si>
    <r>
      <rPr>
        <b/>
        <sz val="14"/>
        <color theme="1"/>
        <rFont val="Calibri"/>
        <family val="2"/>
        <scheme val="minor"/>
      </rPr>
      <t>Valorisation:</t>
    </r>
    <r>
      <rPr>
        <sz val="14"/>
        <color theme="1"/>
        <rFont val="Calibri"/>
        <family val="2"/>
        <scheme val="minor"/>
      </rPr>
      <t xml:space="preserve"> Any processing activity whereby food is transformed into a range of value-added products.</t>
    </r>
  </si>
  <si>
    <t>European Commission. (version 2020) Brief on food waste in the European Union. Brussels: The European Commission’s Knowledge Centre for Bioeconomy (p. 1).</t>
  </si>
  <si>
    <t>https://knowledge4policy.ec.europa.eu/publication/brief-food-waste-european-union_en</t>
  </si>
  <si>
    <r>
      <rPr>
        <b/>
        <sz val="14"/>
        <color theme="1"/>
        <rFont val="Calibri"/>
        <family val="2"/>
        <scheme val="minor"/>
      </rPr>
      <t>Retail and Other Distribution (including Wholesale):</t>
    </r>
    <r>
      <rPr>
        <sz val="14"/>
        <color theme="1"/>
        <rFont val="Calibri"/>
        <family val="2"/>
        <scheme val="minor"/>
      </rPr>
      <t xml:space="preserve"> This is a stage of the food supply chain concerning the handling of food and its storage at the point of sale or delivery to the final consumer, and includes distribution terminals, shops, supermarket distribution centres and wholesale outlets.</t>
    </r>
  </si>
  <si>
    <r>
      <rPr>
        <b/>
        <sz val="14"/>
        <color theme="1"/>
        <rFont val="Calibri"/>
        <family val="2"/>
        <scheme val="minor"/>
      </rPr>
      <t xml:space="preserve">Food Services: </t>
    </r>
    <r>
      <rPr>
        <sz val="14"/>
        <color theme="1"/>
        <rFont val="Calibri"/>
        <family val="2"/>
        <scheme val="minor"/>
      </rPr>
      <t>This is a stage of the food supply chain concerning the processing of food at the point of sale or delivery to the final consumer, and includes catering operations, factory canteens, institutional catering, restaurants and other similar food service operations.</t>
    </r>
  </si>
  <si>
    <r>
      <rPr>
        <b/>
        <sz val="14"/>
        <color theme="1"/>
        <rFont val="Calibri"/>
        <family val="2"/>
        <scheme val="minor"/>
      </rPr>
      <t>Households:</t>
    </r>
    <r>
      <rPr>
        <sz val="14"/>
        <color theme="1"/>
        <rFont val="Calibri"/>
        <family val="2"/>
        <scheme val="minor"/>
      </rPr>
      <t xml:space="preserve"> This is a stage of the food supply chain concerning the processing and consumption of the food in the households or small residential facilities which are processing the food themselves.</t>
    </r>
  </si>
  <si>
    <t xml:space="preserve">Eurostat. (version of June 2022). Guidance on reporting of data on food waste and food waste prevention according to Commission Implementing Decision (EU) 2019/2000. Luxembourg: Publications Office of the European Union (pp. 36-37). </t>
  </si>
  <si>
    <t>REGULATION 1308/2013 CATEGORIES</t>
  </si>
  <si>
    <t>A) the technical definitions
B) classification criteria
C) indication of the species, plant variety or animal race or the commercial type
D) presentation, labelling, packaging, marking, year of harvesting
E) criteria such as appearance, consistency, conformation, product characteristics and the percentage of water content
F) specific substances used in production (i.e. quantitative content, purity, identification)
G) the type of farming and production method 
H) coupage of must and wine
I) the frequency of collection, delivery, preservation and handling, the conservation method and temperature, storage and transport
J) the place of farming and/or origin
K) restrictions as regards the use of certain substances and practices
L) specific use
M) the conditions governing the disposal, the holding, circulation and use of products.</t>
  </si>
  <si>
    <t>Regulation (EU) No 1308/2013 of the European Parliament and of the Council of 17 December 2013 establishing a common organisation of the markets in agricultural products and repealing Council Regulations (EEC) No 922/72, (EEC) No 234/79, (EC) No 1037/2001 and (EC) No 1234/2007 (p. 714).</t>
  </si>
  <si>
    <t>https://eur-lex.europa.eu/legal-content/EN/TXT/PDF/?uri=CELEX:32013R1308</t>
  </si>
  <si>
    <t>FOOD COMMODITY CATEGORIES</t>
  </si>
  <si>
    <t>Fruits and vegetables
Cereals
Meat (poultry, bovine, pork)
Fish
Eggs
*please refer to the weblink for the full list of food commodity categories.</t>
  </si>
  <si>
    <t>European Commission - Directorate-General for Health and Food Safety</t>
  </si>
  <si>
    <t>https://ec.europa.eu/food/food-feed-portal/screen/food-additives/categories</t>
  </si>
  <si>
    <t>FOOD MARKETING STANDARDS &amp; FOOD WASTE</t>
  </si>
  <si>
    <r>
      <rPr>
        <b/>
        <sz val="14"/>
        <color theme="1"/>
        <rFont val="Calibri"/>
        <family val="2"/>
        <scheme val="minor"/>
      </rPr>
      <t xml:space="preserve">Food Marketing Standards: </t>
    </r>
    <r>
      <rPr>
        <sz val="14"/>
        <color theme="1"/>
        <rFont val="Calibri"/>
        <family val="2"/>
        <scheme val="minor"/>
      </rPr>
      <t xml:space="preserve">Obligatory rules or optional reserved terms aiming to address the expectations of consumers and to improve the economic conditions for the production and marketing as well as the quality of agricultural products.  They establish rules regarding product characteristics and other requirements that must be met for products to circulate within in the EU market. </t>
    </r>
  </si>
  <si>
    <t>BREADCRUMB Grant Agreement, Annex I, Part A, page 2; electronic version page 98.
Regulation (EU) No 1308/2013 of the European Parliament and of the Council of 17 December 2013 establishing a common organisation of the markets in agricultural products and repealing Council Regulations (EEC) No 922/72, (EEC) No 234/79, (EC) No 1037/2001 and (EC) No 1234/2007. 
(https://eur-lex.europa.eu/legal-content/EN/TXT/PDF/?uri=CELEX:32013R1308)</t>
  </si>
  <si>
    <r>
      <rPr>
        <b/>
        <sz val="14"/>
        <color theme="1"/>
        <rFont val="Calibri"/>
        <family val="2"/>
        <scheme val="minor"/>
      </rPr>
      <t>Public Food Marketing Standards:</t>
    </r>
    <r>
      <rPr>
        <sz val="14"/>
        <color theme="1"/>
        <rFont val="Calibri"/>
        <family val="2"/>
        <scheme val="minor"/>
      </rPr>
      <t xml:space="preserve"> Standards established by government agencies or inter-governmental bodies. The standards are often mandatory baseline (minimum) criteria needed for food products in order to legally access the market.</t>
    </r>
  </si>
  <si>
    <t>BREADCRUMB D1.3</t>
  </si>
  <si>
    <r>
      <rPr>
        <b/>
        <sz val="14"/>
        <color theme="1"/>
        <rFont val="Calibri"/>
        <family val="2"/>
        <scheme val="minor"/>
      </rPr>
      <t>Private Food Marketing Standards:</t>
    </r>
    <r>
      <rPr>
        <sz val="14"/>
        <color theme="1"/>
        <rFont val="Calibri"/>
        <family val="2"/>
        <scheme val="minor"/>
      </rPr>
      <t xml:space="preserve"> Standards that are not EU or national legislation, but rather food marketing standards developed and operated by entities other than government bodies - this can include individual companies, food manufacturers, non-governmental organisations, industry associations, and retailers. They operate within the legal framework but are voluntary in nature.</t>
    </r>
  </si>
  <si>
    <r>
      <rPr>
        <b/>
        <sz val="14"/>
        <color theme="1"/>
        <rFont val="Calibri"/>
        <family val="2"/>
        <scheme val="minor"/>
      </rPr>
      <t xml:space="preserve">Food waste: </t>
    </r>
    <r>
      <rPr>
        <sz val="14"/>
        <color theme="1"/>
        <rFont val="Calibri"/>
        <family val="2"/>
        <scheme val="minor"/>
      </rPr>
      <t>Defined in accordance with the EC definition as any food and its associated inedible parts (such as bones or fruit cores) that do not find their way to human consumption and rather become discarded. This can occur at all stages of the food supply chain, from farm to fork. In BREADCRUMB, if food products are returned to the land, utilised as animal feed, composted, subjected to anaerobic digestion, or left unharvested, they are considered food waste.</t>
    </r>
  </si>
  <si>
    <t>BREADCRUMB Deliverable 1.3
Directive 2008/98/EC of the European Parliament and of the Council of 19 November 2008 on waste and repealing certain Directives (OJ L 312, 22.11.2008, p. 4, point 4a).</t>
  </si>
  <si>
    <t>QUALITY, VALIDITY, CONSISTENCY, R&amp;I HOTSPOTS</t>
  </si>
  <si>
    <r>
      <rPr>
        <b/>
        <sz val="14"/>
        <color theme="1"/>
        <rFont val="Calibri"/>
        <family val="2"/>
        <scheme val="minor"/>
      </rPr>
      <t>Quality:</t>
    </r>
    <r>
      <rPr>
        <sz val="14"/>
        <color theme="1"/>
        <rFont val="Calibri"/>
        <family val="2"/>
        <scheme val="minor"/>
      </rPr>
      <t xml:space="preserve"> Are the objectives clearly stated? i.e. are the goals, scope, context, approach clear?</t>
    </r>
  </si>
  <si>
    <t>BREADCRUMB Grant Agreement, Annex I, Part B, page 10; electronic version page 106.</t>
  </si>
  <si>
    <r>
      <rPr>
        <b/>
        <sz val="14"/>
        <color theme="1"/>
        <rFont val="Calibri"/>
        <family val="2"/>
        <scheme val="minor"/>
      </rPr>
      <t>Validity:</t>
    </r>
    <r>
      <rPr>
        <sz val="14"/>
        <color theme="1"/>
        <rFont val="Calibri"/>
        <family val="2"/>
        <scheme val="minor"/>
      </rPr>
      <t xml:space="preserve">  Is the standard legally required?</t>
    </r>
  </si>
  <si>
    <t>BREADCRUMB Grant Agreement, Annex I, Part B,  page 10; electronic version page 106.</t>
  </si>
  <si>
    <r>
      <rPr>
        <b/>
        <sz val="14"/>
        <color theme="1"/>
        <rFont val="Calibri"/>
        <family val="2"/>
        <scheme val="minor"/>
      </rPr>
      <t>Consistency:</t>
    </r>
    <r>
      <rPr>
        <sz val="14"/>
        <color theme="1"/>
        <rFont val="Calibri"/>
        <family val="2"/>
        <scheme val="minor"/>
      </rPr>
      <t xml:space="preserve"> Is the standard being used in different contexts / geographical settings (i.e. countries)?</t>
    </r>
  </si>
  <si>
    <r>
      <t>R&amp;I Hotspots:</t>
    </r>
    <r>
      <rPr>
        <sz val="14"/>
        <color theme="1"/>
        <rFont val="Calibri"/>
        <family val="2"/>
        <scheme val="minor"/>
      </rPr>
      <t xml:space="preserve"> Are there key research and development or innovation possibilities? 
The following parameters were used to identify key possibilities for research and development / innovation: standards specifically related to production processes, transport and logistics, packaging.  </t>
    </r>
  </si>
  <si>
    <t>Mentioned but not defined in the BREADCRUMB Grant Agreement, Annex I, Part B, page 10; electronic version page 106.</t>
  </si>
  <si>
    <t>BREADCRUMB PROJECT - INVENTORY OF FOOD MARKETING STANDARDS IN THE EUROPEAN UNION</t>
  </si>
  <si>
    <t>Cream coloured cells indicates private standards.</t>
  </si>
  <si>
    <t>Green coloured cells indicates possible links to food waste.</t>
  </si>
  <si>
    <t>STANDARD</t>
  </si>
  <si>
    <t>FOOD COMMODITY</t>
  </si>
  <si>
    <t>FOOD COMMODITY CATEGORY</t>
  </si>
  <si>
    <t>CATEGORY ACCORDING TO REG 1308/2013</t>
  </si>
  <si>
    <t>GEOGRAPHIC SCOPE</t>
  </si>
  <si>
    <t>PUBLIC OR PRIVATE</t>
  </si>
  <si>
    <t>BRIEF DESCRIPTION OF THE STANDARD</t>
  </si>
  <si>
    <t>LINK TO FOOD WASTE</t>
  </si>
  <si>
    <t>ON-LINE LOCATION / WEBLINK</t>
  </si>
  <si>
    <t>QUALITY</t>
  </si>
  <si>
    <t>VALIDITY</t>
  </si>
  <si>
    <t>CONSISTENCY</t>
  </si>
  <si>
    <t>R&amp;I HOTSPOTS</t>
  </si>
  <si>
    <t>CONCLUDING STATEMENT</t>
  </si>
  <si>
    <t>Full name of the food marketing standard</t>
  </si>
  <si>
    <t>Indicate specific food commodity</t>
  </si>
  <si>
    <t>Indicate food commodity category
*refer to glossary</t>
  </si>
  <si>
    <t>The standard fits into which category of Regulation 1308/2013
*refer to glossary</t>
  </si>
  <si>
    <t>International, EU-wide, or per EU member state</t>
  </si>
  <si>
    <t>Public or Private
*refer to glossary</t>
  </si>
  <si>
    <t>Primary Production, Processing &amp; Manufacturing, Retail and Other Distribution, Food Services
*refer to glossary</t>
  </si>
  <si>
    <t>A brief description / paragraph</t>
  </si>
  <si>
    <t>Only if found, brief description about how the standard is linked to food waste, otherwise Not Available (N/A)</t>
  </si>
  <si>
    <t>Where the information was found on-line. (There might be instances where it was obtained first-hand and is not available on-line - such as with some private standards.)</t>
  </si>
  <si>
    <t>Are the objectives clearly stated? i.e. are the goals, scope, context, approach clear?
*refer to glossary</t>
  </si>
  <si>
    <t>Is the standard legally required?
*refer to glossary</t>
  </si>
  <si>
    <t>Is the standard being used in different contexts / geographical settings (i.e. countries)?
*refer to glossary</t>
  </si>
  <si>
    <t>Are there key research and development or innovation possibilities? 
*refer to glossary</t>
  </si>
  <si>
    <t>Marine Stewardship Council (MSC) Chain of Custody Standard</t>
  </si>
  <si>
    <t>Fish</t>
  </si>
  <si>
    <t>G</t>
  </si>
  <si>
    <t>International</t>
  </si>
  <si>
    <t>Private</t>
  </si>
  <si>
    <t>Primary Production, Processing &amp; Manufacturing, Retail and other Distribution</t>
  </si>
  <si>
    <t>Seafood products can pass through long and complex supply chains between the ocean and reaching consumers. At each stage, there is a risk that products will be mislabelled or that products from an MSC certified fishery will be mixed up with non-certified products. Certification to the Chain of Custody Standard ensures an unbroken chain where certified seafood is easily identifiable, separated from non-certified products, and can be traced back to another certified business. This system allows businesses and consumers to be confident that seafood with the blue MSC label has come from a fishery certified as sustainable.</t>
  </si>
  <si>
    <t>N/A</t>
  </si>
  <si>
    <t>https://www.msc.org/standards-and-certification/fisheries-standard</t>
  </si>
  <si>
    <t>Yes</t>
  </si>
  <si>
    <t>No</t>
  </si>
  <si>
    <t>Yes - research and development in sustainable fishery production.</t>
  </si>
  <si>
    <t>High-quality fish, sustainable production, traceability; international; not legally binding.</t>
  </si>
  <si>
    <t>Marine Stewardship Council (MSC) Fisheries Standard</t>
  </si>
  <si>
    <t>The MSC Fisheries Standard is used to assess if a fishery is well-managed and sustainable. The Standard reflects the most up-to-date understanding of internationally accepted fisheries science and management.</t>
  </si>
  <si>
    <t>The MSC Fisheries Standard is used to assess if a fishery is well-managed and sustainable; international; not legally binding.</t>
  </si>
  <si>
    <t>Aquaculture Stewardship Council (ASC) Farm Standard</t>
  </si>
  <si>
    <t xml:space="preserve">Fish </t>
  </si>
  <si>
    <t>G, K</t>
  </si>
  <si>
    <t xml:space="preserve">International </t>
  </si>
  <si>
    <t xml:space="preserve">The Standard is structured according to four principles – farm management, environmental responsibility, social responsibility and fish welfare, with the new, fourth principle developed to put fish welfare front and centre in the approach. </t>
  </si>
  <si>
    <t>https://asc-aqua.org/the-new-asc-farm-standard/</t>
  </si>
  <si>
    <t xml:space="preserve">No </t>
  </si>
  <si>
    <t xml:space="preserve">The Standard is structured according to four principles – farm management, environmental responsibility, social responsibility and fish welfare; international; not legally binding. </t>
  </si>
  <si>
    <t xml:space="preserve">The Global Seafood Alliance (GSA) Seafood Processing Standard (SPS) </t>
  </si>
  <si>
    <t>A, B, C, D, E, F, G, I, K, L, M</t>
  </si>
  <si>
    <t>Primary Production, Processing &amp; Manufacturing</t>
  </si>
  <si>
    <t>The Seafood Processing Standard (SPS) is the only seafood-specific standard for processing plants. GSA works with industry experts who understand seafood and the audit process at all steps in the supply chain, including the processing plant. GSA also works with the marketplace and producers to help meet responsible sourcing demands and ensure availability of certified volume.</t>
  </si>
  <si>
    <t>https://info.globalseafood.org/seafood-processing-with-standards</t>
  </si>
  <si>
    <t>Yes - research and development in sustainable seafood processing.</t>
  </si>
  <si>
    <t>A seafood-specific standard for processing plants; international; not legally binding.</t>
  </si>
  <si>
    <t>Fishmeal and Fish Oil Organization responsible supply standard</t>
  </si>
  <si>
    <t xml:space="preserve">M, L </t>
  </si>
  <si>
    <t>Primary Production</t>
  </si>
  <si>
    <t xml:space="preserve">IFFO RS is the leading standard in the certification of marine ingredients. Driven by the desire of the marine ingredient sector to provide assurances for the value chain with respect to traceability and sustainability. </t>
  </si>
  <si>
    <t xml:space="preserve">Lack of correct documentation can lead to waste fish intended to be used for feed. </t>
  </si>
  <si>
    <t>https://www.researchgate.net/profile/Oivind-Strand/publication/234040004_FarmingTheWatersForPeopleAndFood/links/0fcfd50e7796a86845000000/FarmingTheWatersForPeopleAndFood.pdf#page=537
https://www.salmar.no/de/Menu-6-1
https://www.iffo.com/node/378</t>
  </si>
  <si>
    <t>The Fishmeal and Fish Oil Organization's Responsible Supply standard certifies marine ingredients worldwide, ensuring traceability and sustainability; international; not legally binding.</t>
  </si>
  <si>
    <t xml:space="preserve">Marin Trust Standard </t>
  </si>
  <si>
    <t xml:space="preserve">Aquaculture fish </t>
  </si>
  <si>
    <t xml:space="preserve">A programme dedicated to marine ingredient production factories, allowing them to gain recognition for their sourcing and production of marine ingredients. </t>
  </si>
  <si>
    <t>https://www.marin-trust.com</t>
  </si>
  <si>
    <t xml:space="preserve">Yes - research and development in sustainable marine ingredient production. </t>
  </si>
  <si>
    <t>Sustainable fishing standard; international; not legally binding.</t>
  </si>
  <si>
    <t>ISO 22005</t>
  </si>
  <si>
    <t>All food commodities</t>
  </si>
  <si>
    <t>J</t>
  </si>
  <si>
    <t>Primary Production, Processing &amp; Manufacturing, Retail and Other Distribution (including wholesale), Food Services</t>
  </si>
  <si>
    <t>ISO 22005 is an international standard for management of the procurement supply chain (SCM), providing a number of requirements for organisations to guarantee the traceability of agri-food products. If a health and safety non-conformity should occur, on the one hand, it enables tracing that point in the chain where the problem originated, on the other, to proceed, if needed, with the “targeted” withdrawal of the product.</t>
  </si>
  <si>
    <t>https://www.csi-spa.com/en/certification-of-agri-forest-supply-chain/iso-22005-traceability-food-supply-chain</t>
  </si>
  <si>
    <t>Tracebility standards; international; not legally binding.</t>
  </si>
  <si>
    <t>Donau Soja</t>
  </si>
  <si>
    <t>Soybean</t>
  </si>
  <si>
    <t>Cereals</t>
  </si>
  <si>
    <t>K</t>
  </si>
  <si>
    <t xml:space="preserve">Primary Production, Processing &amp; Manufacturing </t>
  </si>
  <si>
    <t>The Donau Soja standard was set up to promote and spread the cultivation, processing and commercialisation of sustainable quality soy, not modified genetically and of controlled origin from the Danube region. The goal is to develop and guarantee a sustainable supply of “non-GM” protein in and from Europe. The standard guarantees the two essential Donau Soja characteristics: "European origin” and “no GMO", alongside further social, environmental and economic aspects.</t>
  </si>
  <si>
    <t>https://www.donausoja.org/</t>
  </si>
  <si>
    <t>Yes - research and development in  sustainable farming.</t>
  </si>
  <si>
    <t>Sustinable soya production; international; not legally binding.</t>
  </si>
  <si>
    <t>Europe Soya</t>
  </si>
  <si>
    <t>The Europe Soya quality program was set up to promote and spread the cultivation, processing and commercialisation of sustainable quality soy, “non-GM” and of controlled origin from Europe. The Europe Soya standard is based on ten Europe Soya principles based on the cultivation of soybeans. These principles cover the two essential characteristics of “European origin" and "exempt from GMO" of Europe Soya, together with other social, environmental and economic aspects.</t>
  </si>
  <si>
    <t>https://www.donausoja.org/certification-inspection/europe-soya-standard/</t>
  </si>
  <si>
    <t xml:space="preserve">Yes - research and development in sustainable, non-GM production processes. </t>
  </si>
  <si>
    <t xml:space="preserve">The Europe Soya quality program promotes the cultivation, processing and commercialisation of sustainable quality (social, environmental and economic aspects) soy, “non-GM”, and of controlled origin from Europe; applied in the EU; not legally binding. </t>
  </si>
  <si>
    <t>GLOBAL G.A.P. - Integrated Farm Assurance Standards - Fruits &amp; Vegetables</t>
  </si>
  <si>
    <t>Fruit &amp; Vegetables</t>
  </si>
  <si>
    <t>Fruit &amp; Vegetables, Fish</t>
  </si>
  <si>
    <t>D, E, G</t>
  </si>
  <si>
    <t>GLOBAL G.A.P. aims to establish a standard for agricultural producers (integrated farm assurance standards for fruits and vegetables and aquaculture, among others) worldwide that promotes safe and sustainable agriculture.
Integrated Farm Assurance (IFA) for fruit and vegetables provides producers with clarity on market requirements and facilitates a long-term holistic approach to farm-level operations. The standard has consistently achieved Global Food Safety Initiative (GFSI) recognition and is aligned with both the UN Global Compact Food and Agribusiness Principles and the Sustainable Development Goals.</t>
  </si>
  <si>
    <t>https://www.globalgap.org/</t>
  </si>
  <si>
    <t>Establishes standard for agricultural producers worldwide that promotes safe and sustainable agriculture; international; not legally binding.</t>
  </si>
  <si>
    <t>GLOBAL G.A.P. - Integrated Farm Assurance Standards - Aquaculture</t>
  </si>
  <si>
    <t>Aquaculture</t>
  </si>
  <si>
    <t>Integrated Farm Assurance (IFA) for aquaculture is a global standard for responsible farming practices at all stages of primary production. It is built on a holistic approach that covers the key topics of food safety, the environment (including biodiversity), animal welfare, workers’ well-being, production processes, and traceability.</t>
  </si>
  <si>
    <t>Yes - research and development in  sustainable fish production.</t>
  </si>
  <si>
    <t>Establishes standard for agricultural fish producers worldwide that promotes safe and sustainable agriculture; international; not legally binding.</t>
  </si>
  <si>
    <t>GRASP</t>
  </si>
  <si>
    <t xml:space="preserve">G </t>
  </si>
  <si>
    <t xml:space="preserve">The GLOBAL G.A.P. Risk Assessment on Social Practice (GRASP) is an add-on to Integrated Farm Assurance (IFA) for the evaluation of workers' well-being at farm level. Building on the IFA principles and criteria related to workers’ health and safety, and covering topics such as labour and human rights, representation of workers, and the protection of children and young workers, GRASP is a simple but robust evaluation checklist that producers can use to assess, improve, and demonstrate their responsible social practices. </t>
  </si>
  <si>
    <t>https://www.globalgap.org/what-we-offer/solutions/grasp/</t>
  </si>
  <si>
    <t>The GLOBAL G.A.P. Risk Assessment on Social Practice (GRASP) is an add-on to Integrated Farm Assurance (IFA) for the evaluation of workers' well-being at farm level; international; not legally binding.</t>
  </si>
  <si>
    <t xml:space="preserve">SPRING </t>
  </si>
  <si>
    <t xml:space="preserve">Primary Production </t>
  </si>
  <si>
    <t>The Sustainable Program for Irrigation and Groundwater Use (SPRING) is an add-on to Integrated Farm Assurance (IFA) that addresses responsible water management at farm level. It is designed to be paired with the Integrated Farm Assurance (IFA) standard for plants.</t>
  </si>
  <si>
    <t>https://www.globalgap.org/what-we-offer/solutions/spring/</t>
  </si>
  <si>
    <t>Yes - research and innovation in sustainable water management.</t>
  </si>
  <si>
    <t>SPRING addresses responsible water management at farm level; international; not legally binding.</t>
  </si>
  <si>
    <t>BioDiversity</t>
  </si>
  <si>
    <t>BioDiversity is an add-on to Integrated Farm Assurance (IFA) that specifies a set of science-based requirements which help producers demonstrate their on-farm biodiversity management practices and retailers to identify suppliers that fulfill their corporate social responsibility pledges.</t>
  </si>
  <si>
    <t>https://www.globalgap.org/what-we-offer/solutions/biodiversity/</t>
  </si>
  <si>
    <t xml:space="preserve">Yes </t>
  </si>
  <si>
    <t>Yes - research and development in farming to promote biodiversity conservation.</t>
  </si>
  <si>
    <t>BioDiversity specifies a set of science-based requirements which help producers demonstrate their on-farm biodiversity management practices; international; not legally binding.</t>
  </si>
  <si>
    <t>NON-GM/“Ohne Gentechnik”</t>
  </si>
  <si>
    <t>Fish, fish feed</t>
  </si>
  <si>
    <t>Aquaculture, Fish</t>
  </si>
  <si>
    <t>The NON-GM/“Ohne Gentechnik” is an add-on to Integrated Farm Assurance (IFA) that enables aquaculture producers, compound feed manufacturers, and supply chain stakeholders such as aquaculture processors to market their products as free from genetically modified organisms. Aligned with European Union legislation and developed in collaboration with the German Association for Food without Genetic Engineering (Verband Lebensmittel ohne Gentechnik e.V., VLOG), the add-on also gives producers and processors the opportunity to apply for a license to label their products with the standardized “Ohne GenTechnik” seal from VLOG.</t>
  </si>
  <si>
    <t>https://www.globalgap.org/what-we-offer/solutions/non-gm/</t>
  </si>
  <si>
    <t>Yes - research and development in sustainable, non-GM production processes.</t>
  </si>
  <si>
    <t>The NON-GM/“Ohne Gentechnik” allows aquaculture producers, compound feed manufacturers, and supply chain stakeholders such as aquaculture processors to market their products as free from genetically modified organisms; international; not legally binding.</t>
  </si>
  <si>
    <t>Impact-Driven Approach to Sustainability</t>
  </si>
  <si>
    <t>The Impact-Driven Approach to Sustainability (IDA) is an add-on to Integrated Farm Assurance (IFA) that facilitates the digital registration of input consumption data and sustainability metrics, as well as the creation of anonymized comparison reports of peer producers with similar production conditions. An impact-driven approach helps producers identify areas for improvement and promote more sustainable farming practices.</t>
  </si>
  <si>
    <t>https://www.globalgap.org/what-we-offer/solutions/ida/</t>
  </si>
  <si>
    <t>Yes - research and development in data sustainability metrics and practices.</t>
  </si>
  <si>
    <t xml:space="preserve">The Impact-Driven Approach to Sustainability (IDA) facilitates the digital registration of input consumption data and sustainability metrics, and helps producers identify areas for improvement and promote more sustainable farming practices; international; not legally binding. </t>
  </si>
  <si>
    <t>International Featured Standards (IFS)</t>
  </si>
  <si>
    <t>M</t>
  </si>
  <si>
    <t>Retail and Other Distribution (including wholesale)</t>
  </si>
  <si>
    <t>IFS-certified companies produce a product or provide a service that complies with customer specifications, while continually working on process improvements.</t>
  </si>
  <si>
    <t>https://www.ifs-certification.com/it/</t>
  </si>
  <si>
    <t>International Featured Standards (IFS); international; not legally binding.</t>
  </si>
  <si>
    <t>BRCGS PLANT-BASED</t>
  </si>
  <si>
    <t>Tofu, tempeh and seitan, fruits &amp; vegetables</t>
  </si>
  <si>
    <t>Fruits &amp; Vegetables, Cereals</t>
  </si>
  <si>
    <t>Processing &amp; Manufacturing</t>
  </si>
  <si>
    <t>The BRCGS Plant-Based standard was created in January 2020 to help companies in the agri-food sector enhance the value of their products made without the use of ingredients and substances of animal origin.</t>
  </si>
  <si>
    <t>https://www.brcgs.com/our-standards/plant-based-certification/</t>
  </si>
  <si>
    <t>Yes - research and development in food products not of animal origin; plant-based foods.</t>
  </si>
  <si>
    <t>Plant-based food certification; international; not legally binding.</t>
  </si>
  <si>
    <t xml:space="preserve">BRCGS Certification (fish) </t>
  </si>
  <si>
    <t>F, I, D, G</t>
  </si>
  <si>
    <t>Retail and other distribution (including wholesale)</t>
  </si>
  <si>
    <t xml:space="preserve">Avoiding antibacterial substance can lead to loss of product because of disease having losses before the fish is harvested. </t>
  </si>
  <si>
    <t>Fails in labels can lead to food waste.</t>
  </si>
  <si>
    <t>https://www.salmar.no/en/sustainability/certifications/</t>
  </si>
  <si>
    <t>BRCGS Certification for fish focuses on preventing product loss due to disease by avoiding the use of antibacterial substances, ensuring better product health and sustainability international; not legally binding.</t>
  </si>
  <si>
    <t>ISO 9001</t>
  </si>
  <si>
    <t>ISO 9001 is an international standard for quality management systems (QMS), proving an organisation’s commitment to quality and continuous improvement. It can help increase customers’ trust in the products and services of the organisation. The organisations must be certified by third party auditors and must submit to periodical re-certifications to maintain their ISO 9001 certification.</t>
  </si>
  <si>
    <t>https://www.iso.org/standard/62085.html</t>
  </si>
  <si>
    <t>International standard for quality management systems; international; not legally binding.</t>
  </si>
  <si>
    <t>EFICS GTP</t>
  </si>
  <si>
    <t>Primary Production, Processing &amp; Manufacturing, Retail and Other Distribution (including wholesale)</t>
  </si>
  <si>
    <t>EFICS GTP is a global certification program for the transport of packaged food and feed products. It provides a full series of standards and requirements to guarantee the safe, hygienic transport of food and animal feed products, guaranteeing customers that their products are transported responsibly and professionally. EFICS GTP certification offers a competitive advantage for food and feed sector organisations and helps strengthen customer trust in products and services.</t>
  </si>
  <si>
    <t>https://www.efisc-gtp.eu/</t>
  </si>
  <si>
    <t>Yes - research and development in logistics and transportation of food products.</t>
  </si>
  <si>
    <t>Covers cover the collection, transport, storage, trading and industrial manufacturing of safe feed and food ingredients; international; not legally binding.</t>
  </si>
  <si>
    <t xml:space="preserve">Rainforest Alliance </t>
  </si>
  <si>
    <t>Fruits and vegetables, fruit purees</t>
  </si>
  <si>
    <t>Fruits</t>
  </si>
  <si>
    <t>Rainforest Alliance 2020 Certification Program aims to grow a more sustainable world using market and social forces to protect nature and improve the lives of farmers and communities.</t>
  </si>
  <si>
    <t>https://www.rainforest-alliance.org/</t>
  </si>
  <si>
    <t>Certification Program to grow a more sustainable products using social forces to protect nature and improve the lives of farmers and communities; international; not legally binding.</t>
  </si>
  <si>
    <t>Fairtrade International</t>
  </si>
  <si>
    <t>Fresh Fruit &amp; Vegetables, composite food products, Sugar, Honey, Herbs and Spices.</t>
  </si>
  <si>
    <t>B,D, E, G, J</t>
  </si>
  <si>
    <t>Fairtrade changes the way trade works through better prices, decent working conditions and a fairer deal for farmers and workers in developing countries. Includes three regional producer networks; over 25 national Fairtrade organizations and marketing organizations; Fairtrade International; FLOCERT (the main independent certifier for Fairtrade).</t>
  </si>
  <si>
    <t>https://www.fairtrade.net/about/faq</t>
  </si>
  <si>
    <t>Fairtrade changes the way trade works through establishing standards in relation to better prices, decent working conditions and a fairer deal for farmers and workers in developing countries; international, not legally binding.</t>
  </si>
  <si>
    <t>Global Red Meat Standard</t>
  </si>
  <si>
    <t>Meat (pork, beef, lamb/sheep, goat, horse)</t>
  </si>
  <si>
    <t>Bovine, Pork</t>
  </si>
  <si>
    <t>The objective of the Global Red Meat Standard (GRMS) is to deliver transparency within animal welfare, quality, food safety and hygiene in factories that slaughter, cut, debone, process and handle meat and meat products from pork, beef, lamb/sheep, goat and horse. The transparency is delivered through an independent certification process based on ISO/IEC 17065.</t>
  </si>
  <si>
    <t>https://www.grms.org/#:~:text=more%20about%20Contact-,About%20GRMS,%2Fsheep%2C%20goat%20and%20horse.</t>
  </si>
  <si>
    <t xml:space="preserve">Yes - research and development into animal-friendly and sustainable production methods. </t>
  </si>
  <si>
    <t xml:space="preserve">The objective of the Global Red Meat Standard (GRMS) is to deliver transparency within animal welfare, quality, food safety and hygiene in factories that slaughter, cut, debone, process and handle meat and meat products from pork, beef, lamb/sheep, goat and horse; international; not legally binding. </t>
  </si>
  <si>
    <t>Fair Labor</t>
  </si>
  <si>
    <t xml:space="preserve">The Workplace Code of Conduct defines labour standards that aim to achieve decent and humane working conditions in factories and on farms. The Principles of Fair Labour and Responsible Sourcing and Production define essential company-level practices for ensuring safe and sustainable supply chains. All standards are based on International Labour Organization (ILO) standards (ILO core conventions) and internationally accepted good labour practices. </t>
  </si>
  <si>
    <t>https://www.siegelklarheit.de/en/fair-labor-association-fla-5</t>
  </si>
  <si>
    <t>The Workplace Code of Conduct defines labour standards that aim to achieve decent and humane working conditions in factories and on farms; international; not legally binding.</t>
  </si>
  <si>
    <t>Social Accountability International SA8000</t>
  </si>
  <si>
    <t xml:space="preserve">Primary Production, Processing &amp; Manufacturing, Retail and Other Distribution (including wholesale), Food Services  </t>
  </si>
  <si>
    <t>The SA8000 Standard and Certification System provide a framework for organizations of all types, in any industry, and in any country to conduct business in a way that is fair and decent for workers and to demonstrate their adherence to the highest social standards. The SA8000 Standard is based on internationally recognized standards of decent work, including the Universal Declaration of Human Rights, ILO conventions, and national laws. SA8000 applies a management-systems approach to social performance and emphasizes continual improvement not checklist-style auditing. SA8000 certification applies only to individual workplaces/factories. It is not a product certification, but the SA8000 label may be used on product labels to highlight the specific processes that were conducted in a certified facility.</t>
  </si>
  <si>
    <t>https://www.siegelklarheit.de/en/sa8000-8</t>
  </si>
  <si>
    <t xml:space="preserve">The SA8000 Standard and Certification System provide a framework for organizations of all types, in any industry, and in any country to conduct business in a way that is fair and decent for workers and to demonstrate their adherence to the highest social standards; international; not legally binding. </t>
  </si>
  <si>
    <t xml:space="preserve">Ethical Trade and Responsible Sourcing </t>
  </si>
  <si>
    <t xml:space="preserve">Primary Production, Processing &amp; Manufacturing, Retail and other Distribution, Food services </t>
  </si>
  <si>
    <t>This Standard has been developed to specify the ethical trade and responsible sourcing requirements that should be in place on a site to fulfil its legal and moral obligations towards its workers. The Standard can also form the basis for the assessment of the extended supply chain of a certificated site to fulfil obligations with respect to responsible sourcing.</t>
  </si>
  <si>
    <t>https://www.brcgs.com/store/global-standard-ethical-trade-and-responsible-sourcing-(issue-2.1)/p-19031/</t>
  </si>
  <si>
    <t>Yes - research and development in  sustainable farming (sourcing).</t>
  </si>
  <si>
    <t>Specifies the ethical trade and responsible sourcing requirements; international; not legally binding.</t>
  </si>
  <si>
    <t xml:space="preserve">Ethical Trading Initiative Base Code </t>
  </si>
  <si>
    <t>The ETI Base Code is founded on the conventions of the International Labour Organisation (ILO) and is an internationally recognised code of labour practice.</t>
  </si>
  <si>
    <t>https://www.ethicaltrade.org/eti-base-code</t>
  </si>
  <si>
    <t>Code of labour practice in production and trade process; international; not legally binding.</t>
  </si>
  <si>
    <t xml:space="preserve">Fair For Life </t>
  </si>
  <si>
    <t>FFL is a product certification programme for fair trade and responsible supply-chains. Respect human rights and fair working conditions; Respect ecosystems and promotion of biodiversity, sustainable agricultural practices; respect and betterment of local impact.</t>
  </si>
  <si>
    <t>https://www.fairforlife.org/pmws/indexDOM.php?client_id=fairforlife&amp;page_id=home&amp;lang_iso639=en</t>
  </si>
  <si>
    <t>Aims to respect human rights and fair working conditions, ecosystems and promotion of biodiversity, sustainable agricultural practices; international; not legally binding.</t>
  </si>
  <si>
    <t xml:space="preserve">For Life </t>
  </si>
  <si>
    <t>FL is a certification programme meant for companies willing to demonstrate their corporate social responsibility. FL product certification is an option, and can be granted under certain conditions (the whole supply-chain is under control, labelling &amp; composition rules are stricter).</t>
  </si>
  <si>
    <t>The voluntary FL product certification is granted under certain conditions (the whole supply-chain is under control, labelling &amp; composition rules are stricter); international; not legally binding.</t>
  </si>
  <si>
    <t>Dutch Initiative on Sustainable Cocoa (DISCO)</t>
  </si>
  <si>
    <t>Cocoa</t>
  </si>
  <si>
    <t>Fruits &amp; Vegetables</t>
  </si>
  <si>
    <t xml:space="preserve">Primary Production, Processing &amp; Manufacturing, Retail and Other Distribution (including wholesale) </t>
  </si>
  <si>
    <t>DISCO acknowledges the complexity of the root causes behind the critical social, economic, and environmental sustainability issues in the cocoa sector. The vision is that in cocoa-production regions important to the Dutch cocoa industry the following will be achieved:
- Farming families with cocoa as their main livelihood activity will be enabled to earn a living income by 2030;
- Cocoa-related deforestation and forest degradation in producing regions where the Dutch cocoa industry and their trade partners are sourcing from will have ended in their supply chains by 2025;
- Effective measures and necessary actions contributing to ending all forms of child labour by 2025 are taken.</t>
  </si>
  <si>
    <t>https://www.idhsustainabletrade.com/initiative/dutch-initiative-on-sustainable-cocoa-disco/</t>
  </si>
  <si>
    <t>Yes - research and development in sustainable cocoa sourcing and production.</t>
  </si>
  <si>
    <t xml:space="preserve">DISCO promotes social (wage, child labour), and environmental sustainability issues in relation to cocoa production; international, not legally binding. </t>
  </si>
  <si>
    <t xml:space="preserve">Supermarkets marketing standards  for citrus </t>
  </si>
  <si>
    <t xml:space="preserve">Citrus Fruits  </t>
  </si>
  <si>
    <t>A</t>
  </si>
  <si>
    <t>EU</t>
  </si>
  <si>
    <t>Glossary of supermarket marketing standards for citrus.</t>
  </si>
  <si>
    <t>N/A - private standard</t>
  </si>
  <si>
    <t>Visual supermarket standards for fruits and vegetables; applied in the EU; not legally binding.</t>
  </si>
  <si>
    <t>Supermarkets marketing standards for persimmon</t>
  </si>
  <si>
    <t>Persimmon</t>
  </si>
  <si>
    <t>Glossary of supermarket marketing standards for persimmon.</t>
  </si>
  <si>
    <t xml:space="preserve">Compilation of standards in the GENERAL document </t>
  </si>
  <si>
    <t>Fishery and aquaculture</t>
  </si>
  <si>
    <t>J, G, D, E</t>
  </si>
  <si>
    <t xml:space="preserve">Addresses consumer assurance issues (traceability), animal health, environmental issues and feed requirements (including the sustainability of sources of fish used as fish feed). The organization also offers access to certification schemes, including Tartan Quality Mark (involving independent inspection of production processes and 4 ISO 14001 deals with environmental management systems (see: www.iso.org). </t>
  </si>
  <si>
    <t>Mislabelled product should be discarded, bad appearance lead directly to food waste.</t>
  </si>
  <si>
    <t>https://www.researchgate.net/profile/Oivind-Strand/publication/234040004_FarmingTheWatersForPeopleAndFood/links/0fcfd50e7796a86845000000/FarmingTheWatersForPeopleAndFood.pdf#page=536</t>
  </si>
  <si>
    <t>Yes - research and development in sustainable fish production.</t>
  </si>
  <si>
    <t>This EU document compiles standards related to fish farming, covering consumer assurance, traceability, animal health, environmental management, and sustainable fish feed sourcing; applied in the EU; legally binding.</t>
  </si>
  <si>
    <t>C, D, E, I, M, F, J</t>
  </si>
  <si>
    <t xml:space="preserve">Retailers and importers </t>
  </si>
  <si>
    <t>https://www.researchgate.net/profile/Oivind-Strand/publication/234040004_FarmingTheWatersForPeopleAndFood/links/0fcfd50e7796a86845000000/FarmingTheWatersForPeopleAndFood.pdf#page=537</t>
  </si>
  <si>
    <t>Debio/ KRAV certification, organic salmon</t>
  </si>
  <si>
    <t xml:space="preserve">Aquaculture </t>
  </si>
  <si>
    <t xml:space="preserve">I, J, F, G, K </t>
  </si>
  <si>
    <t>For the salmon to be classified as organic, it must have been farmed in accordance with the EU's organic regulations and audited by DEBIO.
The entire process is verified throughout the value chain and it is regularly checked by the certification body. Minimum annual inspections and control of fish farming, farming procedures, feed, slaughter, processing and sales. The certification process for organic aquaculture in Norway has been delegated to Debio by the Norwegian Food Safety Authority. "DEBIO" approval ID is NS-EN 45011, ISO 65. MOM (environmental monitoring) is an important factor in DEBIO's audits. The sites used for organic farming must be approved a minimum of 4 months after the site is empty - compared to 2 months for the conventional sites 
SalMar Farming has a certified organic production according to the Debio standard for aquaculture of Atlantic salmon, and this standard also covers the EU regulations for farming organic salmon.
KRAV is the Swedish trademark for organic production. The main criteria for its organic salmon:
- Density of the cage must not be greater than 10 kg/m3
- The organic salmon is fed with maritime feed, made from fish offcuts - it is an absolute requirement that the fish used in the feed comes from sustainable fisheries (MSC-certified fisheries)
- The nuts are not treated with impregnation containing copper. This will have less impact on the environment.
- If fish must be treated with medication, the withholding time is twice as long as normal salmon.</t>
  </si>
  <si>
    <t>https://www.salmar.no/baerekraft/sertifiseringer/</t>
  </si>
  <si>
    <t>Yes - research and development in organic fish farming.</t>
  </si>
  <si>
    <t>Control of fish farming, farming procedures, feed, slaughter, processing and sales; international; not legally binding.</t>
  </si>
  <si>
    <t>On the Way to PlanetProof</t>
  </si>
  <si>
    <t xml:space="preserve">Arable crops, Fruits &amp; Vegetables, Milk, Eggs, Ornamentals (flowers, plants, trees, flower bulbs, etc.), and prepared and processed food products.  </t>
  </si>
  <si>
    <t xml:space="preserve">Fruits &amp; Vegetables, Milk, Eggs, prepared and processed food products.  </t>
  </si>
  <si>
    <t>D</t>
  </si>
  <si>
    <t xml:space="preserve">On the way to PlanetProof is a European sustainability label that proves more sustainable agricultural production. Products with this quality label comply with strict environmental criteria related to 8 sustainability themes. Therefore, choosing certified products is good for the planet because the farmers and growers produce with respect for nature, climate, and the animals. The criteria and measures go beyond legal requirements. </t>
  </si>
  <si>
    <t>https://www.planetproof.eu/en/</t>
  </si>
  <si>
    <t xml:space="preserve">Yes - research and development in sustainable production methods. </t>
  </si>
  <si>
    <t xml:space="preserve">A European sustainability label that adheres to sustainable agricultural production. Products with this quality label comply with strict environmental criteria related to 8 sustainability themes; the criteria and measures go beyond legal requirements; applied in the EU; not legally binding.  </t>
  </si>
  <si>
    <t>Private standard of retailers regarding visual quality standards and acceptance of class II products</t>
  </si>
  <si>
    <t>Potatoes, Onions, Cabbage, Leek, Spring onions, Carrots, Radish, Apples</t>
  </si>
  <si>
    <t>E</t>
  </si>
  <si>
    <t>Austria</t>
  </si>
  <si>
    <t xml:space="preserve">Visual quality standards with regards to uniform and intact products. </t>
  </si>
  <si>
    <t>Losses at field are especially high for salads, cabbage and radish; at supplier level high losses occur for carrots, potatoes and onions.Farmers criticized the standards for potatoes, onions, cabbage, leek, spring onions, carrots, radish, apples, visual quality standards got stricter, although the legal standards of the EU in 2009 abandoned them, the retailers do not sell class II products, high uniformity demands are difficult to fulfill and lead to food waste at farm level e.g. in cabbage, salad or leeks// supermarkets fear the negative consumer reactions and are afraid that they switch to the competitors, if private food marketing standards are lowered.</t>
  </si>
  <si>
    <t>https://citeseerx.ist.psu.edu/document?repid=rep1&amp;type=pdf&amp;doi=2cc019a95a577cf5278e06ffa7cd3444164cf51e</t>
  </si>
  <si>
    <t>Private standard of retailers regarding visual quality standards and acceptance of class II products; applied in Austria; not legally binding.</t>
  </si>
  <si>
    <t>Private customer requirements for all fresh fruit and vegetables (No. 1)</t>
  </si>
  <si>
    <t>All fresh fruits and vegetables </t>
  </si>
  <si>
    <t>Germany</t>
  </si>
  <si>
    <t>Guidance on the quality, grading and labelling requirements for citrus fruits. </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</si>
  <si>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Global Gap 
o IFS
o GRASP
- Max. utilization RHM single active ingredient 70%
- Max. utilization RHM total 80%
- Max. utilization AfRD Value Total 80%
- Residue Analysation </t>
  </si>
  <si>
    <t>Private customer requirements for all fresh fruit and vegetables; applied in Germany; not legally binding.</t>
  </si>
  <si>
    <t>Private customer requirements for all fresh fruit and vegetables (No. 2)</t>
  </si>
  <si>
    <t>If the product does not meet the following criteria, the customer isn´t selling it, which can lead to reclamations and product rotting: 
- no GMO products 
- all pesticide residues do not exceed a maximum utilization of the respective legal maximum content of Regulation (EC) 396/2005 in its current version of one third (33%)
- residue levels do not exceed a maximum utilization of 80% in total of all active substances
- organic Products are required to be within the EG-Ökoverordnung
- max. of 2 found residues 
- max. utilization RHM single active ingredient -&gt; 33%
- max. utilization RHM total -&gt; 80%
- max. utilization AfRD Value Total -&gt;50%
- Supplier has the following valid certifications: 
o Organic 
o Global Gap
o IFS
o GRASP/ FIAS/ SEDEX</t>
  </si>
  <si>
    <t>Private customer requirements for all fresh fruit and vegetables (No. 3)</t>
  </si>
  <si>
    <t>If the product does not meet the following criteria, the customer isn´t selling it, which can lead to reclamations and product rotting: 
- restriction on pesticide use above the Organic regulations 
- supplier has the following valid certifications: 
o Organic 
o Global Gap
o GRASP/ Fairtrade/ SEDEX</t>
  </si>
  <si>
    <t>Private customer requirements for all fresh fruit and vegetables (No. 4)</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</si>
  <si>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IFS
o Global Gap
o Grasp, Bioland, Biopark, BSCI, Ecovalia plus social, Fair for Life, Fair Produce, Fairtrade, FLA, FSA, Gäa, ICS, Naturland, QS FIAS, Rapunzel Hand in Hand, Rainforest Alliance, SA8000, SIZA, SMETA, Soil association Ethical Trade, UTZ, ICEA, WRAP
- Max. utilization RHM single active ingredient 70%
- Max. utilization AfRD Value Total 70%
- Participation at fruitmonitoring system </t>
  </si>
  <si>
    <t>Private customer requirements for all fresh fruit and vegetables (No. 5)</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</si>
  <si>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IFS
o Global Gap -&gt; Fully compliant 
o Grasp -&gt; compliance
o Biokreis, Bioland Standards, fair for life, Faitrade, MPS SQ Naturland Standards, Rainforest Alliance, Sustainably Grown Standard
- Max. utilization RHM single active ingredient 70%
- Max. utilization AfRD Value Total 70%</t>
  </si>
  <si>
    <t>Private customer requirements for all fresh fruit and vegetables (No. 6)</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</si>
  <si>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Global Gap 
- Max. utilization RHM single active ingredient 70%
- Max. utilization AfRD Value Total 70%</t>
  </si>
  <si>
    <t>Private customer requirements for all fresh fruit and vegetables (No. 7)</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</si>
  <si>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Global Gap 
o IFS/BRC
o GRASP, Bioland, Biopark, BSCI, Fair for Life, Fair Produce, Fairtrade, Ga, MPS SQ, Naturland, QS FIAS, Rainfores Alliance, SIZA, SA 8000, SMETA
- Max. number of active ingredients 2
- Max. utilization RHM single active ingredient 33%
- Max. utilization RHM total 70%
- Max. utilization AfRD Value Total 100%</t>
  </si>
  <si>
    <t>Private customer requirements for all fresh fruit and vegetables (No. 8)</t>
  </si>
  <si>
    <t>Organic certificate</t>
  </si>
  <si>
    <t>Private customer requirements for all fresh fruit and vegetables (No. 9)</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</si>
  <si>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Global Gap 
o IFS
o Bioland, Biopark, Fair for Life, Fair Produce, Faritrade, Gäa, Naturland, QS FIAS, SIZAMax. number of active ingredients 2
- Max. utilization RHM single active ingredient 70%
- Max. utilization RHM total 70%
- Max. utilization AfRD Value Total 100%</t>
  </si>
  <si>
    <t>Private customer requirements for all fresh fruit and vegetables (No. 10)</t>
  </si>
  <si>
    <t>If the product does not meet the following criteria, the customer isn´t selling it, which can lead to reclamations and product rotting: 
- based on UNECE Norms
- restriction on pesticide use above the Organic regulations 
- Supplier has the following valid certifications: 
o Organic 
o Global Gap 
o IFS
o GRASP
- Max. utilization RHM single active ingredient 70%
- Max. utilization RHM total 70%
- Max. utilization AfRD Value Total 50%</t>
  </si>
  <si>
    <t>Information based on reclamations of products</t>
  </si>
  <si>
    <t>Restriction reasons.</t>
  </si>
  <si>
    <t>Possible reasons for reclamations at the customer side are:
- Damaged
- Illness
- Dirt
- Growth deficiencies
- Spoilage
- Underweight
- Maturity
- Pests
- Temperature
- Labelling
- Packaging
- Abnormal moisture
- Delivery documents incomplete
- Delayed delivery
- Incorrect delivery
- Transport damage
- Outside customer specification
Especially, spoilage, quality deviation and temperature are common reasons to reject products, leading to a longer distribution way till reaching the end consumer, leading to more waste. </t>
  </si>
  <si>
    <t>Possible reasons for reclamations at the customer side; applied in Germany; not legally binding.</t>
  </si>
  <si>
    <t>Administrative processes extending the delivery leading to rotting</t>
  </si>
  <si>
    <t>Administrative processes extending the delivery process which can lead to rotting. </t>
  </si>
  <si>
    <t>Examples are expiration of certificates, extra controls, misunderstanding between trader and customers.</t>
  </si>
  <si>
    <t xml:space="preserve">Yes - research and development in logistic processes. </t>
  </si>
  <si>
    <t>Administrative processes extending the delivery; applied in Germany; not legally binding.</t>
  </si>
  <si>
    <t>Limes - Order specific size requirements </t>
  </si>
  <si>
    <t>Limes</t>
  </si>
  <si>
    <t>Size requirements of the ordered produce by private customers.</t>
  </si>
  <si>
    <t>Several customers order specific fruit and packaging sizes. 
For limes these are the following: 
• 8x4 fruits
• 4kg, 4,5kg, 17,5kg, 16,5kg with the following calibre options:
o 70
o 63
o 60
o 54
o 48
o 42
o 36
o 32
• 12x4 fruits
• 10x4 fruits
• 8x250g
• 6x4 fruits
• 10x500g
If the delivered limes are not meeting these size criteria, they are rejected. These are determined when the produce are ordered, thus the present/purchased produces need to meet these requirements to be sold. </t>
  </si>
  <si>
    <t>Order specific produce and package size requirements; applied in Germany; not legally binding.</t>
  </si>
  <si>
    <t>Lemon - Order specific size requirements </t>
  </si>
  <si>
    <t>Lemons</t>
  </si>
  <si>
    <t>Several customers order specific fruit and packaging sizes. 
For lemons these are the following: 
• 20 fruits 140g
• 10x500g
• 10x4 fruits
• 10x500g
• 13x500g
• 14x500g
• 11x500g
• 13x400g
• 10kg with the following calibre:
o 2
o 3
o 4
o 5
o 6
o 7
If the delivered lemons are not meeting these size criteria, they are rejected. These are determined when the produce are ordered, thus the present/purchased produces need to meet these requirements to be sold. </t>
  </si>
  <si>
    <t>Cucumber - Order specific size requirements </t>
  </si>
  <si>
    <t>Cucumbers</t>
  </si>
  <si>
    <t>Several customers order specific fruit and packaging sizes. 
For cucumbers these are the following: 
• 12 fruits 300g or 250g with or without foil or in bags
• 14 fruits 350g
If the delivered cucumbers are not meeting these size criteria, they are rejected. These are determined when the produce is ordered, thus the present/purchased produces need to meet these requirements to be sold. </t>
  </si>
  <si>
    <t>Paprika - Order specific size requirements </t>
  </si>
  <si>
    <t>Paprika</t>
  </si>
  <si>
    <t>Several customers order specific fruit and packaging sizes. 
For paprika these are the following: 
for mixes (bell pepper):
• 10x400g
• 6x400g
for individual bell pepper:
• 2,5/5kg M à 100-135g
• 2,5/5kg  M1 à 150-180g
• 2,5/5kg M2 à 135-150g
• 2,5/5kg  L à 220-250g
• 2,5/5kg  L1 à 180-200g
• 2,5/5kg  L2 à 200-220g
• 2,5/5kg XL
for pointed peppers:
• 2,5kg
• 10x180g
• 6x180g
• 10x170g
If the delivered paprika are not meeting these size criteria, they are rejected. These are determined when the produce is ordered, thus the present/purchased produces need to meet these requirements to be sold. </t>
  </si>
  <si>
    <t>Tomaten - Order specific size requirements </t>
  </si>
  <si>
    <t>Tomatoes </t>
  </si>
  <si>
    <t>Several customers order specific fruit and packaging sizes. 
For tomatoes these are the following: 
• 10x500g 4-6fruits
• 10x500g
• 5kg
• 5kg 4-6 fruits per risp
• 6x500g
If the delivered tomatoes are not meeting these size criteria, they are rejected. </t>
  </si>
  <si>
    <t xml:space="preserve">QS Scheme </t>
  </si>
  <si>
    <t>Meat and meat products, fruit, vegetables and potatoes</t>
  </si>
  <si>
    <t>Fruits &amp; Vegetables, Meat</t>
  </si>
  <si>
    <t>D, E, F, G, I, J, K</t>
  </si>
  <si>
    <t>QS certified products can be recognized by the QS certification mark. It signals the cross-stage compliance with the QS standards for the production and marketing of meat and meat products, fruit, vegetables and potatoes as well as assured processes and the quality of the products. This scheme is organized by QS Qualität und Sicherheit GmbH. The company is sponsored by five shareholders, which represent the parties in industry who produce and market meat and meat products.</t>
  </si>
  <si>
    <t>https://www.q-s.de/qs-scheme/qssystem-en.html</t>
  </si>
  <si>
    <t>QS standards for the production and marketing of meat and meat products, fruit, vegetables and potatoes as well as assured processes and the quality of the products; applied in Belgium; not legally binding.</t>
  </si>
  <si>
    <t>Bovine - Interprofessional scheme with specific food requirements (Belbeef)</t>
  </si>
  <si>
    <t>Beef</t>
  </si>
  <si>
    <t>Bovine</t>
  </si>
  <si>
    <t>B</t>
  </si>
  <si>
    <t>Belgium</t>
  </si>
  <si>
    <t>The Belbeef Standard is a complete certification system for Belgian beef that covers all links of Belgian beef production (“from farm to fork”). This system complies with all legal provisions in the field of food safety, traceability and animal welfare, and brings together all the common requirements of the various customers.</t>
  </si>
  <si>
    <t>https://www.belbeef.be/de-belbeef-standaard</t>
  </si>
  <si>
    <t>This standard focuses on food safety, traceability and animal welfare, and brings together all the common requirements of the various customers; applied in Belgium; not legally binding.</t>
  </si>
  <si>
    <t>Pork - Interprofessional scheme with specific food requirements (BePork)</t>
  </si>
  <si>
    <t>Pork</t>
  </si>
  <si>
    <t>BePork guarantees additional guarantees on top of the legal basis for safe and quality pork. Animal welfare, sustainability and animal health are central. The standards and conditions associated with the BePork quality system are explained in detail in the BePork quality manual and regulations; production, transport, slaughterhouse, cutting plant, butcher.</t>
  </si>
  <si>
    <t>https://belpork.be/nl/bepork/#</t>
  </si>
  <si>
    <t xml:space="preserve">Yes - research and development in sustainable production processes. </t>
  </si>
  <si>
    <t>Guarantees additional guarantees on top of the legal basis for safe and quality meat., where animal welfare, sustainability and animal health are central; applied in Belgium; not legally binding.</t>
  </si>
  <si>
    <t>Private customer requirements (B2B and retail)</t>
  </si>
  <si>
    <t>These are extra legal quality, animal welfare and traceability demands. Each retailer or B2B player has its specification.</t>
  </si>
  <si>
    <t xml:space="preserve">Additional quality, animal welfare and traceability demands; applied in Belgium; not legally binding.  </t>
  </si>
  <si>
    <t>Beter Voor Iedereen</t>
  </si>
  <si>
    <t>Livestock</t>
  </si>
  <si>
    <t>All livestock</t>
  </si>
  <si>
    <t xml:space="preserve">Feed, race, genetics, circumstances in stables, (toys, hay, space, outside space, etc.), antibiotics, GMO free. </t>
  </si>
  <si>
    <t>https://betervooriedereen.be</t>
  </si>
  <si>
    <t>Yes - research and development in sustainable production processes, including animal welfare conditions.</t>
  </si>
  <si>
    <t xml:space="preserve">The label guarantees a more sustainable approach to agriculture; good quality care of the food for the animals; applied in Belgium; not legally binding. </t>
  </si>
  <si>
    <t>Beter Voor Varken, Natuur en Boer</t>
  </si>
  <si>
    <t xml:space="preserve">Animal welfare standard, where various chain partners are used - such as transporters, cold stores, storage locations and processing production locations - in the scope of managing the integrity of the product with the claim “better for pigs”. Used by retailer Albert Heijn. </t>
  </si>
  <si>
    <t>https://static.ah.nl/binaries/ah/content/assets/ah-nl/core/about/duurzaamheid/handleidingvarken.pdf</t>
  </si>
  <si>
    <t>Aims to preserve the integrity of the product; applied in Belgium; not legally binding.</t>
  </si>
  <si>
    <t>Varkensvlees van Weleer van Kwaliteitsketen (Carrefour)</t>
  </si>
  <si>
    <t>The Pork of Weleer &amp; Quality Supply Chain Carrefour has earned the label, because the meat comes from animals that were raised in an environmentally friendly way and fed with 100% natural feed without GMO. Used by retailer Carrefour.</t>
  </si>
  <si>
    <t>https://www.carrefour.be/nl/inspiratie/kwaliteitsketen/beenhouwerij/varkensvlees-van-weleer/prodp.html</t>
  </si>
  <si>
    <t>Animal welfare standard; applied in Belgium; not legally binding.</t>
  </si>
  <si>
    <t>Integrated Quality Management System (Belplume)</t>
  </si>
  <si>
    <t>Poultry</t>
  </si>
  <si>
    <t>Non-profit organization Belplume is responsible for the development of an Integrated Quality Management System for broiler chickens, and laying hen farming.</t>
  </si>
  <si>
    <t>https://www.belplume.be/Over-ons.php</t>
  </si>
  <si>
    <t>Management standard; applied in Belgium; not legally binding.</t>
  </si>
  <si>
    <t>Belbeef</t>
  </si>
  <si>
    <t xml:space="preserve">
Belbeef is the guarantee that the meat bought has been strictly controlled and meets quality requirements, especially as laid down in the Belbeef Standard, a set of specifications for all links in the beef chain.</t>
  </si>
  <si>
    <t>Quality standard; applied in Belgium; not legally binding.</t>
  </si>
  <si>
    <t>Bleu-Blanc-Coeur (France)
Mieux Pour Tous – Better Voor Iedereen – Bleu-Blanc-Coeur Belgium (Belgium)
Filiera Nutrizionale – Bleu-blanc-coeur Italia (Italy)</t>
  </si>
  <si>
    <t>Fruits &amp; Vegetables, Meat, Fish, Eggs, Cereals</t>
  </si>
  <si>
    <t>C, D, F, G, K, M</t>
  </si>
  <si>
    <t>France, Belgium, Italy</t>
  </si>
  <si>
    <t>The Bleu Blanc Cœur label is not an organic label but guarantees products rich in omega 3 and environmentally friendly agriculture; underlines the commitment of farmers, breeders, manufacturers and distributors to health-oriented agriculture.</t>
  </si>
  <si>
    <t xml:space="preserve">
https://produits.bleu-blanc-coeur.org/types-de-produits 
https://international.bleu-blanc-coeur.org/international-news/what-is-a-bleu-blanc-coeur-vegetable/#:~:text=The%20Bleu%2DBlanc%2DCoeur%20logo%20means%20that%20the%20product%20wearing,goes%20hand%20to%20hand!)</t>
  </si>
  <si>
    <t>Yes - research and development in sustainable production.</t>
  </si>
  <si>
    <t xml:space="preserve">Organic, environmentally-friendly, sustainable production; applied in France, Belgium and Italy; not legally binding. </t>
  </si>
  <si>
    <t>Note Globale</t>
  </si>
  <si>
    <t>D, E, F, G, J, M</t>
  </si>
  <si>
    <t>France</t>
  </si>
  <si>
    <t>For a product to have good overall performance, this presupposes that all the players who contribute to its manufacture work in the right direction on all issues: animal welfare, nutrition &amp; human health, environment, traceability, origin, fairness &amp; contribution to the French economy and corporate social responsibility.</t>
  </si>
  <si>
    <t>https://lanoteglobale.org/la-note-globale/</t>
  </si>
  <si>
    <t xml:space="preserve">Sustainable and responsible production, traceability, origin, nutritional value, and quality; applied in France on a company membership basis; not legally binding. </t>
  </si>
  <si>
    <t>EVE Vegan®</t>
  </si>
  <si>
    <t>C, D, F, G, K</t>
  </si>
  <si>
    <t>With its rigorous standards, the EVE Vegan® certification mark provides ethical consumers the assurance to confidently choose 100% vegan products and make compassionate choices in food, cosmetics, or textiles.</t>
  </si>
  <si>
    <t>https://www.certification-vegan.org</t>
  </si>
  <si>
    <t>Yes - research and development of vegan products.</t>
  </si>
  <si>
    <t>A certification that ensures that a product is 100% vegan; applied in France on a company membership basis; not legally binding.</t>
  </si>
  <si>
    <t>Biopartenaire</t>
  </si>
  <si>
    <t>Fruits and vegetables, Cereals</t>
  </si>
  <si>
    <t>Product contains at least 50% fair trade ingredients from one or more Biopartnerships: chains of reciprocal, sustainable and equitable commitments between Biopartners (farmers, processing companies, manufacturing companies, distributors and vending machines).
The label provides a framework for relations between producers, input suppliers, wholesalers and processors by ensuring outlets at a guaranteed minimum price for producers over a period of at least 3 years. The processors are able to benefit from this because they have quality products at their disposal. Checks are carried out at all stages of the supply chain by third party organisations according to the specifications of two standards: Fair for Life and Reliable.
Biopartenaire has chosen to label only products distributed in organic food shops or similar. More than 700 products are labelled, from 60 sectors worldwide, including 15 in France, ranging from cereals to cashew nuts, including tea, rice, livestock or aromatic and medicinal plants.</t>
  </si>
  <si>
    <t>https://www.biopartenaire.com/fr/</t>
  </si>
  <si>
    <t xml:space="preserve">Yes - research and development in organic production. </t>
  </si>
  <si>
    <t>Organic food, sustainable production throughout the supply chain; applied in France; not legally binding.</t>
  </si>
  <si>
    <t>Agri-Ethique</t>
  </si>
  <si>
    <t>Fruits and vegetables, Meat, Eggs, Cereals
The list is available here: https://www.agriethique.fr/nos-filieres/</t>
  </si>
  <si>
    <t>Fruits &amp; Vegetables, Meat, Eggs, Cereals</t>
  </si>
  <si>
    <t>Created in 2013 by the Cavac cooperative group in the Vendée, Agri-Éthique (6) is today the first French fair trade label. It all started with the wheat sector, in response to price volatility, but Agri-Éthique now also deals with the milk, beef, pork and dried vegetables sectors, and works with 19 producer groups and more than 1,300 farmers and breeders. The Agri-Ethics approach is based on multipartite agreements between farmers, storekeepers, processors and distributors over a minimum period of 3 years to ensure economic security and fair remuneration for the former. The production costs of the region concerned and the characteristics of the farms in the sector serve as a basis for setting guaranteed prices. In 2019, the label represented €252 million in turnover, i.e. 58 percent of the turnover of products labelled fair trade origin France. In addition to the volumes generated, the label is also important for mobilising conventional agricultural sectors and supporting them in the agro-ecological transition.</t>
  </si>
  <si>
    <t>https://www.agriethique.fr</t>
  </si>
  <si>
    <t>Yes - research and development in sustainable production processes (mobilising conventional agricultural sectors and supporting them in the agro-ecological transition).</t>
  </si>
  <si>
    <t>A fair trade certification; applied in France, on a company membership basis; not legally binding.</t>
  </si>
  <si>
    <t>Bio Equitable En France</t>
  </si>
  <si>
    <t>Meat, Eggs</t>
  </si>
  <si>
    <t>F, G, J, K</t>
  </si>
  <si>
    <t>Organic farming and its positive impacts on the environment:
- Development of biodiversity
- Natural fertilization
- Landscape maintenance
- Grass valorization and water quality
- Fight against climate change
- The food products produced (milk, eggs and meat) are produced with respect for our animals.</t>
  </si>
  <si>
    <t>https://www.bio-equitable-en-france.fr</t>
  </si>
  <si>
    <t>Organic, sustainable, responsible  farming; applied in France; not legally binding.</t>
  </si>
  <si>
    <t>Label ECOCERT "ENGAGEMENT BIODIVERSITE"</t>
  </si>
  <si>
    <t>Fruits and vegetables, Meat, Eggs, Cereals, Fish</t>
  </si>
  <si>
    <t>G, K, M</t>
  </si>
  <si>
    <t>A label that addresses both local biodiversity and the biodiversity impacted throughout the organization's value chain, on both directly and indirectly related territories. A label focused on measuring biodiversity footprint through regular assessment of the pressures exerted by the organization's activities on biodiversity, rather than solely focusing on a biodiversity inventory at a single point in time. This approach promotes ecosystem resilience and contributes to strengthening their ecological functions. A label that prioritizes avoiding and reducing pressures on biodiversity in professional practices, by anticipating impacts from the project design phase and including ecological planning of infrastructures.</t>
  </si>
  <si>
    <t>https://www.ecocert.com/fr-FR/expertise/biodiversite-et-changement-climatique</t>
  </si>
  <si>
    <t>Yes - research and development in sustainable production processes (biodiversity footprint).</t>
  </si>
  <si>
    <t>A label that prioritizes avoiding and reducing pressures on biodiversity in professional practices, by anticipating impacts from the project design phase and including ecological planning of infrastructures;  applied in France; not legally binding.</t>
  </si>
  <si>
    <t>Bio Sud Ouest France </t>
  </si>
  <si>
    <t>Fruits and vegetables, Eggs</t>
  </si>
  <si>
    <t>Fruits &amp; Vegetables, Eggs</t>
  </si>
  <si>
    <t>Before being able to apply for Bio Sud Ouest France approval, the operator must be certified in organic farming by a control body , in accordance with current French or European regulations. (Ex: Ecocert / Agrocert / Bureau veritas etc.)
Bio Sud Ouest France approved products must contain a minimum of 95% of ingredients from the South-West* (100% of the raw materials underlying the sales name of the product, excluding aromas AND 95% of the weight of the agricultural ingredients produced in the southwest).</t>
  </si>
  <si>
    <t>https://biosudouestfrance.com</t>
  </si>
  <si>
    <t>Organic farming, origin; applied in France, Sud Ouest region; not legally binding.</t>
  </si>
  <si>
    <t>Bio Cohérence</t>
  </si>
  <si>
    <t>Fruits and vegetables, Meat, Eggs, Cereals</t>
  </si>
  <si>
    <t>F, G, J, K, M</t>
  </si>
  <si>
    <t>Some examples of additional guarantees to the European organic regulation:
- 100% organic and 100% France from seed to plate
- Respect for seasonality : ban on heated greenhouses
- Regeneration of soil life and fertility : limitation of inputs, introduction of green manure
- Autonomous peasant farms : limitation of the size of livestock, reinforced link to the soil
- Animal welfare: arrangement of living spaces, pain management
- Naturalness of products: limitation of additives and processes
- Ecological transition : maintenance and development of biodiversity, energy consumption, waste reduction
- Social: ban on posted workers, limited salary scale, reflection on the arduousness of the work
- Economic efficiency: strengthening the autonomy of farms, diversification of outlets, fair remuneration.</t>
  </si>
  <si>
    <t>https://www.biocoherence.fr</t>
  </si>
  <si>
    <t>Organic farming; applied in France; not legally binding.</t>
  </si>
  <si>
    <t>Agri Confiance</t>
  </si>
  <si>
    <t>Fruits and vegetables, Meat (Poultry), Eggs, Cereals, Fish</t>
  </si>
  <si>
    <t>Fruits &amp; Vegetables, Poultry, Fish, Eggs, Cereals</t>
  </si>
  <si>
    <t>F, G, I, J, K</t>
  </si>
  <si>
    <t>French Origin:
- Certified traceability and quality
- Controlled food safety
- Transparency of practices
- Limitation of the use of inputs
- Biodiversity
- Soil conservation
- Preservation of water resources
- Supervised breeding conditions
- Reduced use of antibiotics
- GMO-free food (&lt; 0.9%)
- Outdoor breeding preferred.</t>
  </si>
  <si>
    <t>https://www.agriconfiance.coop</t>
  </si>
  <si>
    <t xml:space="preserve">Yes - research and development in sustainable production. </t>
  </si>
  <si>
    <t>Traceability, quality, sustainable agriculture, GMO-free; applied in France; not legally binding.</t>
  </si>
  <si>
    <t>Nature et Progres</t>
  </si>
  <si>
    <t>Fruits and vegetables, Meat, Fish</t>
  </si>
  <si>
    <t>Fruits &amp; Vegetables, Meat, Fish</t>
  </si>
  <si>
    <t>The Nature &amp; Progrès label is the collective brand of the association. It guarantees food and cosmetic products that respect the environment, people and animals. It is based on its own specifications and on the commitment of its members to respect its charter. Farmers, producers, manufacturers, processors who wish to obtain the N&amp;P designation request it from the local N&amp;P group. They undertake to respect technical specifications. There are specifications for each type of production, some unique in their kind. For example, Nature &amp; Progrès has specifications for winemaking, which is not the case for AB (organic farming).</t>
  </si>
  <si>
    <t>https://natureetprogres.org/?Accueil</t>
  </si>
  <si>
    <t xml:space="preserve">Yes - research and development in sustainable and organic production. </t>
  </si>
  <si>
    <t>Organic farming label/certification; applied in France; not legally binding.</t>
  </si>
  <si>
    <t>Flor de Peira standards</t>
  </si>
  <si>
    <t>C, D, E, G, K</t>
  </si>
  <si>
    <t>Flor de Pèira®, an association of committed producers, Certified organic, the Flor de Pèira ® producer must adhere to the participatory guarantee system set up by the association. Ten farmers united within the Flor de Pèira® association. The Flor de Pèira® brand ensures the traceability and quality of flours thanks to a Participatory Guarantee System (SPG). The SPG is an alternative to the principle of third-party certification. This approach is based on 3 pillars:
– A specification is drawn up and signed by the producers involved.
– Annual verification of all producers by one of their peers.
– The committee of all producers deliberates and renews the label or not.
It is participatory: each producer is involved in the process. It is transparent: the verification mechanism imposes the non-reciprocity of control visits and the systematic rotation of investigators.
This principle encourages the evolution of everyone's practices and the sharing of know-how. It allows the networking of producers. Beyond control, it is a process of progress.</t>
  </si>
  <si>
    <t>https://flordepeira.com</t>
  </si>
  <si>
    <t>High-quality organic flour production; applied in France on a participatory basis; not legally binding.</t>
  </si>
  <si>
    <t>Viandes et oeufs de France</t>
  </si>
  <si>
    <t>Meat (poultry, bovine, pork), Eggs</t>
  </si>
  <si>
    <t>Primary Production, Processing &amp; Manufacturing, Retail and other Distribution, Food services</t>
  </si>
  <si>
    <t>The Viandes et oeufs de France logo assures the consumer that the meat and eggs come from animals born, raised, slaughtered, cut and processed in France. It also guarantees a production method that respects the environment, animal welfare and animals fed with a healthy and sustainable diet . Guaranteeing total traceability, as for all French production, the Viandes et oeufs de France logo meets rigorous health standards .</t>
  </si>
  <si>
    <t>https://agriculture.gouv.fr/viandes-et-oeufs-de-france-la-garantie-des-professionnels-de-lorigine-et-de-la-tracabilite#:~:text=Le%20logo%20Viandes%20et%20Œufs,une%20alimentation%20saine%20et%20durable.</t>
  </si>
  <si>
    <t>Provides information on the origin of meat or eggs (France); applied in France, can be recognised by consumers elsewhere; not legally binding.</t>
  </si>
  <si>
    <t>Fruits &amp; Légumes de France</t>
  </si>
  <si>
    <t>Fruits and vegetables</t>
  </si>
  <si>
    <t>The “Fruits &amp; Légumes de France” logo aims to better identify products grown, harvested, prepared, and/or packaged in France to consumers, in order to visually display the product's mention of origin, obligatory on the shelves for fresh fruit and vegetables.</t>
  </si>
  <si>
    <t>https://www.interfel.com/services/logos-de-france/</t>
  </si>
  <si>
    <t>Provides information on the origin of fruits and/or vegetables (France); applied in France, can be recognised by consumers elsewhere; not legally binding.</t>
  </si>
  <si>
    <t>Produit en Île-de-France</t>
  </si>
  <si>
    <t>Fruits and vegetables
Meat (poultry, bovine, pork)
Fish
Eggs
Dairy
Bakery wares (includes bread)
Beverages</t>
  </si>
  <si>
    <t>Fruits &amp; Vegetables, Meat, Fish, Eggs</t>
  </si>
  <si>
    <t xml:space="preserve">The brand certifies the territorial anchoring of its members and the traced origin of the products. Under this collective brand, producers benefit from national influence. Meeting the demand for local products, an idea that makes sense at a time when consumers are increasingly demanding about the origin of the products they buy. Complementary to official quality labels such as AOC, AOP, IGP, Label Rouge or even AB for organic, PRODUIT EN Île-de-France conveys strong values ​​of authenticity, proximity, pride and accessibility. With this brand, the Region intends to encourage the maintenance of sustainable and qualitative agricultural activity in Île-de-France with identified products. </t>
  </si>
  <si>
    <t>https://produiteniledefrance.fr</t>
  </si>
  <si>
    <t>Certifies the regional  origin of the product (Île-de-France); applied in France; not legally binding.</t>
  </si>
  <si>
    <t>Origine Corrèze</t>
  </si>
  <si>
    <t xml:space="preserve">All food commodities are potentially allowed. A current list of food commodities authorized can be found here:
</t>
  </si>
  <si>
    <t>The “ORIGINE CORREZE” brand is attached to a product, know-how or service whose manufacture must be carried out in Corrèze with the following criteria: For the food and catering trades, the basic constituent elements of the product must be from more than 51 percent of the territory of Corrèze before processing, unless force majeure is impossible.</t>
  </si>
  <si>
    <t>https://www.origine.correze.fr</t>
  </si>
  <si>
    <t>Certifies the regional  origin of the product (Corrèze); applied in France; not legally binding.</t>
  </si>
  <si>
    <t>Sud de France, Sud de France Bio, Sud de France Origine</t>
  </si>
  <si>
    <t xml:space="preserve">All food commodities are potentially allowed. </t>
  </si>
  <si>
    <t>Occitanie products for all products referenced Sud de France. These products meet specifications which guarantee the regional provenance of raw materials, processing sites in the Occitanie Region, and local know-how. Organic from Occitanie for all referenced products which have Organic Agriculture certification and regional origin of raw materials. The excellence of Occitania for all products which bear a sign of quality and origin (AOP/AOC/IGP/Label Rouge). These products guarantee not only the regional origin of production but also their quality and regional know-how.</t>
  </si>
  <si>
    <t>https://sud-de-france.com/decouvrir-la-marque/</t>
  </si>
  <si>
    <t>Certifies the regional origin of the product (Occitanie Region) and organic production; applied in France; not legally binding.</t>
  </si>
  <si>
    <t>Bio di Corsica</t>
  </si>
  <si>
    <t>J, F</t>
  </si>
  <si>
    <t>Bio di Corsica is the tool of the Corsican organic sector, born from the desire of producers, serving the recognition of the organic quality of their products, their territory and traditions. Alliance of tradition and modernity, “Bio di Corsica” is the guarantee of the organic quality of Corsican production.</t>
  </si>
  <si>
    <t>https://interbiocorse.org/bio-di-corsica/</t>
  </si>
  <si>
    <t>Certifies the regional  origin of the product (Corsica) and organic production; applied in France; not legally binding.</t>
  </si>
  <si>
    <t>Mon Bio Pays de la Loire</t>
  </si>
  <si>
    <t>Since its creation, the Pays de la Loire Organic Entrepreneurs association has contributed to the development of regional organic agriculture through several principles:
- promote the know-how of the region,
- favour local sourcing and fair trade sectors,
- supporting environmentally friendly production and processing.</t>
  </si>
  <si>
    <t>https://www.monbiopays.fr</t>
  </si>
  <si>
    <t>Certifies the regional origin of the product (Pays de la Loire) and organic production; applied in France; not legally binding.</t>
  </si>
  <si>
    <t>Bio Sud Ouest France</t>
  </si>
  <si>
    <t>European organic regulations certify the method of production and processing of products. Bio Sud Ouest France adds the guarantee of the regional origin of products and support for the structuring of fair trade sectors in the territory.</t>
  </si>
  <si>
    <t>Certifies the regional origin of the product (Sud Ouest) and organic production; applied in France; not legally binding.</t>
  </si>
  <si>
    <t>Les Gueules Cassées</t>
  </si>
  <si>
    <t>A brand created to promote agri-food products that cannot be sold in traditional distribution channels due to their unusual characteristics.</t>
  </si>
  <si>
    <t>https://gustatifetsolidaire.fr/les-gueules-cassees_fruits_legumes/
https://riviste.unige.it/index.php/publifarum/article/view/1791/2181</t>
  </si>
  <si>
    <t>Promote agri-food products that cannot be sold in traditional distribution channels due to their unusual characteristics with a goal of FW prevention; applied in France; not legally binding.</t>
  </si>
  <si>
    <t>Filiére Qualité (Carrefour)</t>
  </si>
  <si>
    <t xml:space="preserve">
Respect for seasonality and cultivation in open ground. No chemical treatment after harvest. More environmentally friendly farming through agroecology: preserving biodiversity and pollinators (domestic and wild bees, bumblebees, ladybugs...), complete or partial elimination of synthetic chemical pesticides in cultivation. Fruits and vegetables picked at peak ripeness. A reduced time between harvest and delivery, as specified in the specifications, to ensure freshness is maintained on the shelf.</t>
  </si>
  <si>
    <t>https://www.carrefour.fr/marques/filiere-qualite-carrefour/produits</t>
  </si>
  <si>
    <t>A private standard of the chain retailer, the criteria of which are unclear. There is no publicly available list of criteria applied by the retailer, which can potentially lead to unchecked growth of food waste; applied in France; not legally binding.</t>
  </si>
  <si>
    <t>Bio (Carrefour)</t>
  </si>
  <si>
    <t>The preservation of the environment, animal welfare, human health and well-being.</t>
  </si>
  <si>
    <t>https://www.carrefour.fr/marques/carrefour-bio</t>
  </si>
  <si>
    <t>Cultivons le Bon (Auchan)</t>
  </si>
  <si>
    <t xml:space="preserve">The "Auchan Cultivons le bon" approach aims to support passionate farmers in preserving their expertise and resources for consumer satisfaction. Key elements include promoting and sharing best practices for water resource management, like drip irrigation, rainwater harvesting, closed circuits, and water recycling. Auchan encourages monitoring consumption and implementing reduction plans with quantifiable targets. Energy consumption rationalization is supported through partnerships that focus on transitioning to renewable energy sources like solar, thermal (biogas from waste), and geothermal energy. Animal welfare is a cornerstone, with commitments aligned with the five freedoms outlined by the CIWF, ensuring animals are free from hunger, discomfort, pain, fear, and distress. Supporting local employment and ensuring fair compensation and long-term engagement for agricultural partners are also integral to the program​ (Auchan). Additionally, Auchan has initiated a unique decarbonization program for its "Cultivons le bon" supply chains, collaborating with O2M and the Farmterix solution for farm-level environmental assessments. This program is part of Auchan's broader climate strategy aiming for a 25% reduction in its carbon footprint by 2030. </t>
  </si>
  <si>
    <t>https://www.auchan.fr/produits-auchan/nos-engagements-auchan/auchan-filieres-responsables/ca-b202213091626?page=2#fae0fe2e-537b-457c-a935-351e20cbe409_61</t>
  </si>
  <si>
    <t xml:space="preserve">Yes - research and innovation in water resource management. </t>
  </si>
  <si>
    <t>Filières U (Systeme U)</t>
  </si>
  <si>
    <t>Include the following products:
- of French origin
- preserving natural and soil resources
- from farming methods more respectful of animal welfare
- guaranteeing better nutrition for the animals.</t>
  </si>
  <si>
    <t>https://www.magasins-u.com</t>
  </si>
  <si>
    <t>Zéro résidu de pesticides  (Groupe Casino)</t>
  </si>
  <si>
    <t>F, K</t>
  </si>
  <si>
    <t>A range of fresh fruits and vegetables guaranteed without pesticide residue.</t>
  </si>
  <si>
    <t>https://www.groupe-casino.fr/la-marque-casino-poursuit-son-engagement-zero-residu-de-pesticides-sur-les-fruits-et-legumes-frais/</t>
  </si>
  <si>
    <t>Bio (Groupe Casino)</t>
  </si>
  <si>
    <t>Organic foods and agroecology, good nutritional profile of products, improving the animal welfare, preserving fishing resources.</t>
  </si>
  <si>
    <t>https://www.groupe-casino.fr/en/commitments/consume-better/responsible-products/</t>
  </si>
  <si>
    <t>Nature Bio (Cora)</t>
  </si>
  <si>
    <t>Range of organic products is wide and varied, from savoury and sweet groceries to dairy products, meats, drinks and much more.</t>
  </si>
  <si>
    <t>https://www.cora.fr/faire_mes_courses/les_selections_du_moment/selections_cora/nature_bio-c-405159</t>
  </si>
  <si>
    <t>Bon et Bio (Aldi)</t>
  </si>
  <si>
    <t>Label for a range of organic products available at Aldi stores.</t>
  </si>
  <si>
    <t>https://www.aldi.fr/produits/NosProduitsBio.html</t>
  </si>
  <si>
    <t>Filière (Cosme)</t>
  </si>
  <si>
    <t>Guarantees the French origin of its supplies, its breeders are located in Sarthe and neighbouring departments (Mayenne, Orne, etc.). Charcuterie Cosme has been working with around 40 breeders for years. Indeed, it has established a lasting and stable partnership with its breeders. To maintain a local approach, its slaughterhouses are located in Sablé-sur-Sarthe and Chérancé.</t>
  </si>
  <si>
    <t>https://www.charcuterie-cosme.com/filiere/</t>
  </si>
  <si>
    <t xml:space="preserve">HOOGSTRATEN </t>
  </si>
  <si>
    <t>Strawberries</t>
  </si>
  <si>
    <t>The strawberries are inspected and classified in uniform quality sections. Hoogstraten finest quality strawberries are classified in 4 categories: GOLD, Double Extra (EE), Extra (E) and Extra Direct (ED). This classification is based on the strawberries’ external characteristics.</t>
  </si>
  <si>
    <t>https://business.hoogstraten.eu/en/fruit-vegetables/strawberries/</t>
  </si>
  <si>
    <t>Classification standard; applied in Belgium; not legally binding.</t>
  </si>
  <si>
    <t>FLANDRIA</t>
  </si>
  <si>
    <t xml:space="preserve">Apples
Blackberries
Blackcurrants
Blueberries
Gooseberries
Pears
Raspberries
Red and white currants
Strawberries and vegetables </t>
  </si>
  <si>
    <t>The private label Flandria is a quality label recognized in the Flemish retail sector. It sets specific standards for fruits and vegetables, ensuring superior quality and freshness. Products bearing the Flandria label must meet stringent criteria, allowing producers to differentiate themselves in the market and providing consumers with assurance of high-quality produce.</t>
  </si>
  <si>
    <t>The products that fail to meet required appearance standards result in sales loss. Most such products are sold in a lower category and are sold at reduced prices at auction, causing financial loss. Economic factors, such as high costs for harvesting, storage, and redistribution, often lead to crops not being harvested or returned to the land (which is currently prohibited in Belgium). Alternatively, these products may be sold to industrial processors, directly at the farm used as animal feed or composted less common options for minimizing waste. In addition, each farmer must adhere to very strict rules in terms of quality and size. To be awarded the Flandria label, the producers must meet the quality described in the Flandria specifications.  There are requirements with regard to the varieties used, physical characteristics such as shape, sorting, ripeness, firmness and absence of foreign substances. Even the production of the Flandria products itself is subject to strict production conditions. Thus there are provisions about the choice of cultivation land, the plant material used, the nutrients and irrigation. The markings on the box can be used to trace the package back to its origin.</t>
  </si>
  <si>
    <t xml:space="preserve">https://www.flandersfruitsandvegetables.com/en/flandria                                   </t>
  </si>
  <si>
    <t>A private quality standard, criteria unclear; applied in Belgium; not legally binding.</t>
  </si>
  <si>
    <t xml:space="preserve">Responsibly Fresh </t>
  </si>
  <si>
    <t>Apples
Blackberries
Blackcurrants
Blueberries
Gooseberries
Pears
Raspberries
Red and white currants
Strawberries and vegetables</t>
  </si>
  <si>
    <t xml:space="preserve">
Responsibly Fresh is a Belgian label for locally grown vegetables and fruits, established from the Flandria label in 2012. Both labels always appear together. The label guarantees that production occurs according to the principles of integrated agriculture. Additionally, there are a series of quality requirements for the products. The label is managed by the Union of Belgian Horticultural Cooperatives (VBT). This union represents and advocates for the interests of Belgian producer cooperatives in the vegetable and fruit sector, both nationally and internationally.</t>
  </si>
  <si>
    <t>https://www.flandersfruitsandvegetables.com/en/responsibly-fresh</t>
  </si>
  <si>
    <t xml:space="preserve">Vegaplan Standards for Primary Vegetable Production </t>
  </si>
  <si>
    <t>Vegetables – fresh produces (outdoor or greenhouse cultivation)</t>
  </si>
  <si>
    <t>C, D, F, K, I, M, G</t>
  </si>
  <si>
    <t>Vegaplan is a quality assurance scheme developed for Belgian agriculture, specifically focusing on crop production. It aims to ensure the safety, sustainability, and quality of agricultural products, including vegetables. The scheme covers various aspects of agricultural production, including crop protection, fertilization, soil management, water use, and food safety. Vegaplan provides guidelines and requirements for farmers to follow, promoting good agricultural practices and environmental stewardship. Certification under Vegaplan demonstrates compliance with these standards, enhancing consumer confidence and market access for agricultural products. It is an industry-driven initiative supported by various stakeholders, including farmers, industry organizations, and retailers. Overall, Vegaplan plays a crucial role in promoting sustainable and responsible agricultural practices in Belgium's vegetable production sector.Vegaplan's mission is to ensure quality,
food safety, traceability and sustainability in primary crop production through certification</t>
  </si>
  <si>
    <t>https://www.vegaplan.be/uploads/files/modules/documents/file/1689754274_230403%20Vegaplan%20Standaard%20v5.0_E_noTC.pdf</t>
  </si>
  <si>
    <t>Yes - research and development in  sustainable production.</t>
  </si>
  <si>
    <t>A quality assurance schem covering safety, sustainability, and quality of agricultural products; applied in Belgium; not legally binding.</t>
  </si>
  <si>
    <t>Tomabel</t>
  </si>
  <si>
    <t>Tomatoes, Strawberries, Baby Leaf, Lettuce, Oyster mushrooms, Mushrooms, Belgian Endive</t>
  </si>
  <si>
    <t>C, G</t>
  </si>
  <si>
    <t xml:space="preserve">Tomabel originated in 1996 as a quality label for tomatoes and has since grown into a trusted name for high-quality vegetables and fruits. The Tomabel quality label was created in response to the large quantity of bulk products being marketed at that time. Sinec 2006 vine tomatoes are exclusively grown for Delhaize (big retailer). </t>
  </si>
  <si>
    <t>https://www.tomabel.be/</t>
  </si>
  <si>
    <t>A brand of tomatoes; applied in Belgium; not legally binding.</t>
  </si>
  <si>
    <t>Biogarantie</t>
  </si>
  <si>
    <t>Fruit and  vegetables, Cereals</t>
  </si>
  <si>
    <t>Biogarantie is the organic certification label in Belgium. It guarantees that products have been produced according to organic farming standards, which prioritize natural methods and prohibit the use of synthetic pesticides and fertilizers.</t>
  </si>
  <si>
    <t>https://biogarantie.be/nl/</t>
  </si>
  <si>
    <t>An organic farming standard; applied in Belgium; not legally binding.</t>
  </si>
  <si>
    <t>EKO-NL</t>
  </si>
  <si>
    <t>Fruit and vegetables</t>
  </si>
  <si>
    <t>Netherlands</t>
  </si>
  <si>
    <t>Dutch organic certification label. It signifies products that have been produced according to organic farming standards in the Netherlands. The "EKO" label is recognized nationally and guarantees that products meet specific criteria related to organic agriculture,</t>
  </si>
  <si>
    <t>https://eko-keurmerk.nl/assets/downloads/EKO_Normen_Glastuinbouw.pdf</t>
  </si>
  <si>
    <t>An organic certification label; applied in Belgium; not legally binding.</t>
  </si>
  <si>
    <t>Suprimo label</t>
  </si>
  <si>
    <t>Fruit  and vegetables</t>
  </si>
  <si>
    <t>It is private label from  auction Zaltbommel, there is Suprimo Gold and Suprimo Silver. Under the Suprimo label, we are constantly focused on innovation, taste, cultivation, and sustainability.</t>
  </si>
  <si>
    <t>https://veilingzaltbommel.nl/onze-producten/</t>
  </si>
  <si>
    <t>Yes - research and development in  sustainability technologies.</t>
  </si>
  <si>
    <t>An organic farming label; applied in Belgium; not legally binding.</t>
  </si>
  <si>
    <t>Milieukeur</t>
  </si>
  <si>
    <t>K, M</t>
  </si>
  <si>
    <t>Milieukeur is a certification label used in the Netherlands. It indicates that products or services have been produced or provided with consideration for the environment. Milieukeur covers a wide range of products and services, including agriculture, food, construction materials, and cleaning products. For food products, Milieukeur certification typically focuses on aspects such as sustainable agricultural practices, resource usage, and environmental impact throughout the production process. Food products that meet Milieukeur standards may be labelled accordingly, providing consumers with assurance that they have been produced in an environmentally responsible manner.</t>
  </si>
  <si>
    <t>https://sweetpoint.nl/nl/duurzaam/milieukeur/</t>
  </si>
  <si>
    <t>Yes - research and development in sustainability technologies.</t>
  </si>
  <si>
    <t>An organic, sustainable farming label; applied in Belgium; not legally binding.</t>
  </si>
  <si>
    <t>Apples (MACA GALA IGP ALCOBAÇA Cal 70/75 KG) - Portuguese retailer private food marketing standards.</t>
  </si>
  <si>
    <t>Apples</t>
  </si>
  <si>
    <t>Portugal</t>
  </si>
  <si>
    <t>Retailer defines for the SKU best seller of apples (3652458) caliber between 70-75 mm (diameter), minimum brix degree of 12° with 5% tolerance (measured by refractometry and expressed in degrees Brix) and firmness 7 kgf (measured Penetrometer tip 11mm).</t>
  </si>
  <si>
    <t>The definition of private marketing standards by retailers, build upon the Regulation (EU) No 543/2011 of 7 June 2011, contributes to the generation of food waste, directly at the producer.</t>
  </si>
  <si>
    <t>Requirements to size and consistency; applied in Portugal; not legally binding.</t>
  </si>
  <si>
    <t>Oranges (LARANJA ALGARVE IGP 70/95 KG) - Portuguese retailer private food marketing standards.</t>
  </si>
  <si>
    <t>Oranges (citrus fruit)</t>
  </si>
  <si>
    <t>Retailer defines for the SKU best seller of oranges (2507240) minimum sugar/acidity ratio 10:1; rejects caliber codes 0,1,7,8,9,10,11,12 and 13 from Reg 543/2011; Brix degree &gt; 12°  (measured by refractometry and expressed in degrees Brix)</t>
  </si>
  <si>
    <t>Lettuce (ALFACE FRISADA SACO CNT KG) - Portuguese retailer private food marketing standards.</t>
  </si>
  <si>
    <t>Lettuce</t>
  </si>
  <si>
    <t>Retailer defines for the SKU best seller of lettuces (2647366):
Caliber (g):  200g - 300g: In order to guarantee a homogeneous size, the difference in size between products in the same package may not exceed: 100 g when the lightest unit weighs between 150 g and 300 g. | 300 g-450g - 150 g when the lightest unit weighs between 300 g and 450 g. | 450 g - 750g - 300 g when the lightest unit weighs more than 450 g.</t>
  </si>
  <si>
    <t>Requirements to size and weight; applied in Portugal; not legally binding.</t>
  </si>
  <si>
    <t>Strawberries (MORANGO CNT 750 G) - Portuguese retailer private food marketing standards.</t>
  </si>
  <si>
    <t>Strawberries (Red Berries)</t>
  </si>
  <si>
    <t>Retailer defines for the SKU best seller of strawberries (7410100):
Caliber (diameter): 25 mm with 10 % tolerance for fruits &lt;25 mm
Brix degree target of  7°  (measured by refractometry and expressed in degrees Brix) with 5% tolerance
Temperature between 2ºC-8ºC with 5% tolerance</t>
  </si>
  <si>
    <t>Requirements to size and temperature; applied in Portugal; not legally binding.</t>
  </si>
  <si>
    <t>Tomatoes (TOMATE REDONDO SUPERIOR CNT KG) - Portuguese retailer private food marketing standards.</t>
  </si>
  <si>
    <t>Tomatoes</t>
  </si>
  <si>
    <t>Retailer defines for the SKU best seller of tomatoes (7787978):
Minimum characteristics: Maximum 3 fruits without stalk/box
Colour: Min 7 - max 11
Caliber (diameter): rejects caliber codes  0,1,2,3,4,5,6,7,e 10 from Reg 543/2011.
Polp temperature between 10° C- 20ºC - measured by probe thermometer</t>
  </si>
  <si>
    <t>Requirements to size, colour and temperature; applied in Portugal; not legally binding.</t>
  </si>
  <si>
    <t>Carrots (CENOURA CNT EMB.1KG) - Portuguese retailer private food marketing standards.</t>
  </si>
  <si>
    <t>Carrots</t>
  </si>
  <si>
    <t>Retailer defines for the SKU best seller of carrots (2885107):
Minimum characteristics: Branch size with target of 0 cm and &lt;= 2cm
Temperature: 0ºC-8ºC (measured by Digital thermometer)</t>
  </si>
  <si>
    <t>Bananas (BANANA CAT I CNT KG) - Portuguese retailer private food marketing standards.</t>
  </si>
  <si>
    <t>Bananas</t>
  </si>
  <si>
    <t>Retailer defines for the SKU best seller of bananas (2597619):
Minimum characteristics: 5 to 8 fruits per bunch
Colour: Color I (Oct to May): &gt;3.5 (max. 10% of the bunches) &lt;5 (max.20% of the bunches). Target 4.5
Color V (May to Sept): &gt;3 (max. 20% of the bunches) &lt; 4 (max. 20% of the bunches). Target 3.5 predominant 60% to 80%
Caliber: &gt; 20 cm - Length measured on the outside of the fruit
Thickness: &gt; 4 cm - Length measured on the outside of the fruit.
Temperature: 12ºC-16ºC (measured by thermometer)</t>
  </si>
  <si>
    <t>Cereais do Alentejo</t>
  </si>
  <si>
    <t>Cereal</t>
  </si>
  <si>
    <t>E, J</t>
  </si>
  <si>
    <t>Cereais do Alentejo is a brand of unprocessed and 100% national cereals (wheat, barley, oats, triticale), created by ANPOC - National Association of Cereal Producers and registered with the National Institute of Industrial Property. The brand aims to raise the profile of Portuguese cereals.</t>
  </si>
  <si>
    <t>https://www.anpoc.pt</t>
  </si>
  <si>
    <t>Branding of cereals produced in Portugal; applied in Portugal; not legally binding.</t>
  </si>
  <si>
    <t>Scottish Salmon Producers Organization</t>
  </si>
  <si>
    <t>Scotland</t>
  </si>
  <si>
    <t>The Scottish Salmon Producers Organization sets standards for consumer assurance, traceability, environmental impact, and fish feed sustainability, offering certifications like Tartan Quality Mark for robust quality and process verification; applied in Scotland; not legally binding.</t>
  </si>
  <si>
    <t>La truite charte qualité France</t>
  </si>
  <si>
    <t>C, D, J, G</t>
  </si>
  <si>
    <t>At TRUITE SERVICE, the Quality system and the traceability procedure make it possible to find the entire history of a batch. Thanks to the number indicated on the product labels, can access all this information. All daily records and quality controls are used to illustrate the history of a product. The charter emphasizes rigorous breeding criteria , particularly regarding water quality and fish welfare.</t>
  </si>
  <si>
    <t>https://www.researchgate.net/profile/Oivind-Strand/publication/234040004_FarmingTheWatersForPeopleAndFood/links/0fcfd50e7796a86845000000/FarmingTheWatersForPeopleAndFood.pdf#page=537
https://www.truiteservice.com/qualite-truites-fraiches-pat/#:~:text=La%20charte%20met%20l'accent,appr%C3%A9ciables%20des%20pr%C3%A9cieux%20om%C3%A9ga%2D3.</t>
  </si>
  <si>
    <t>La Truite Charte Qualité emphasizes rigorous breeding standards, ensuring traceability, water quality, and fish welfare through detailed records and quality controls that guarantee a product's entire history; applied in France; not legally binding.</t>
  </si>
  <si>
    <t>Qualité aquaculture de France</t>
  </si>
  <si>
    <t xml:space="preserve">E, I </t>
  </si>
  <si>
    <t>Applies a charter "Charte Qualité - Aquaculture de nos Régions ®" that highlights numerous guarantees of freshness, traceability, and fish welfare.</t>
  </si>
  <si>
    <t>https://pisciculteurs-de-france.fr/une-filiere-davenir/engagements-charte-qualite/</t>
  </si>
  <si>
    <t xml:space="preserve">Qualité aquaculture de France ensures freshness, traceability, and fish welfare via applying a charter that members respect; applied in France; not legally binding. </t>
  </si>
  <si>
    <t>Label AQUACULTURE DE NOS REGIONS</t>
  </si>
  <si>
    <t xml:space="preserve">A quality charter that incorporates the requirements appearing in the previous standards “La Truite, Charte Qualité ®” and “Quality – Aquaculture de France ®” concerning the quality and rigorously controlled breeding conditions of freshwater and wild water fish. Highlights all the guarantees of proximity, freshness, traceability, and well-being of the fish so that the consumer can find them. </t>
  </si>
  <si>
    <t>https://www.natexbio.com/label-aquaculture-de-nos-regions/</t>
  </si>
  <si>
    <t xml:space="preserve">The "Label Aquaculture de Nos Régions" quality charter ensures proximity, freshness, traceability, and fish welfare; applied in France, not legally binding. </t>
  </si>
  <si>
    <t>Pisciculteurs de France</t>
  </si>
  <si>
    <t>G, J</t>
  </si>
  <si>
    <t>"Quality Charter – Aquaculture of our Regions ®” highlights numerous guarantees of freshness, traceability, and well-being of fish. Furthermore, producers have committed to Label Rouge and Organic Agriculture specifications.</t>
  </si>
  <si>
    <t>Pisciculteurs de France implements the "Quality Charter – Aquaculture of our Regions," ensuring freshness, traceability, and fish welfare, with producers adhering to Label Rouge and Organic Agriculture certifications for high-quality fish; applied in France; not legally binding.</t>
  </si>
  <si>
    <t>Eat Meat - Utilizes precise industrial processes, and special care in the labelling of meat; specialised in two product families: anatomical cuts and hamburger/burger. Includes safety and sanitary measures (cold chain)</t>
  </si>
  <si>
    <t>Meat</t>
  </si>
  <si>
    <t>Italy</t>
  </si>
  <si>
    <t>Abides by precise industrial processes, and special care in the labelling of meat. The production facility is specialised in two product families: anatomical cuts and hamburger/burger. The hamburgers are packaged, labelled and stored in the refrigerating room at 0°C until distribution. Qualitative and microbiological checks. The cuts that pass the first quality check are sent to the processing department where, they are portioned into retail cuts according to customers’ requirements: single portion, double portion or multi-portion (catering) with fixed or variable weight. The portions are then packaged, labelled and stored in the refrigerating room at 0°C until distribution. Outlines the need to provide the date of production and the date of freezing to the buyers and upon request, to the competent authorities.</t>
  </si>
  <si>
    <t>https://www.eatmeat.it/en/products/</t>
  </si>
  <si>
    <t>Yes - research and innovation in sustainable packaging.</t>
  </si>
  <si>
    <t>Processing, storage, packaging requirements; applied in Italy; not legally binding.</t>
  </si>
  <si>
    <t>Level of residues of products and substances during production</t>
  </si>
  <si>
    <t>Tofu, tempeh and seitan, fruit purees</t>
  </si>
  <si>
    <t>F</t>
  </si>
  <si>
    <t>Maximum residues of products and substances used during the production process halved compared to legal limits.</t>
  </si>
  <si>
    <t>Limit on residues of products and substances used during the production process; applied in Italy; not legally binding.</t>
  </si>
  <si>
    <t>CSQA DTP 030</t>
  </si>
  <si>
    <t>DTP 030 is a voluntary standard certifying the “non-GM” requirement of food, feed products and animal origin by-products. With products intended for zootechnical feeding needs, the certification concerns the controls conducted by operators in order to guarantee respect for the 0.9 percent limit, considered the maximum limit technically inevitable and/or accidental in the zootechnical food preparation processes.</t>
  </si>
  <si>
    <t>https://www.csqa.it/it-it/certificazioni/agroalimentare/non-ogm-dtp-030-rt-11</t>
  </si>
  <si>
    <t xml:space="preserve">Limit on GMO usage for products intended for zootechnical feeding; applied in Italy; not legally binding. </t>
  </si>
  <si>
    <t>CSQA DTP 112</t>
  </si>
  <si>
    <t>The "Sustainable Cereal and Oilseed" standard is the result of the development of a process with different stakeholders, involving companies and representatives from the worlds of agriculture and industry. The requirement of this standard stems from the desire to produce cereals, oilseeds and their derivatives according to the best practices known, to ensure a fully sustainable product.</t>
  </si>
  <si>
    <t>https://standardsmap.org/en/factsheet/583/how-to-comply</t>
  </si>
  <si>
    <t xml:space="preserve">Sustainable cereal production, applied in Italy; not legally binding. </t>
  </si>
  <si>
    <t>PROTERRA</t>
  </si>
  <si>
    <t>The ProTerra standard is based on the Basel Criteria for Responsible Soy Production, published in 2004. It has four main goals: promote good agricultural practices; guarantee the supply of ingredients produced sustainably, fully traceable and “non-GM”; protect the environment and make sure workers and communities are treated with dignity and respect.</t>
  </si>
  <si>
    <t>https://www.nateeo.it/en/proterra-sustainability-in-soy-lecithin/?_gl=1*2317ex*_up*MQ..*_ga*MjExMDA0MTI5LjE3MTQ3MTkzNTY.*_ga_597WVXNBEN*MTcxNDcxOTM1Ni4xLjAuMTcxNDcxOTM1Ni4wLjAuMA..</t>
  </si>
  <si>
    <t xml:space="preserve">
The ProTerra standard is based on the Basel Criteria for Responsible Soy Production, promotes good agricultural practices, sustainable sourcing, fully traceable and “non-GM”, and  ethical labour standards; applied in Italy, not legally binding. </t>
  </si>
  <si>
    <t>SQNPI PRODUZIONE INTEGRATA</t>
  </si>
  <si>
    <t xml:space="preserve">Certification scheme that aims to enhance the agricultural plant productions obtained in accordance with the regional integrated production guidelines. The Qulità System is recognised at Community level (Reg. Ce 1974/2006). Integrated production (or agriculture) is a voluntary production system that is implemented in accordance with the technical standards laid down for each type of crop, both in terms of prevention against adversity and for all other agronomic practices such as fertilization and irrigation. </t>
  </si>
  <si>
    <t>https://www.ccpb.it/blog/certificazione/sqnpi-sistema-qualita-nazionale-produzione-integrata/</t>
  </si>
  <si>
    <t xml:space="preserve">Voluntary integrated production that is implemented in accordance with the technical standards laid down for each type of crop, both in terms of prevention against adversity and for all other agronomic practices such as fertilization and irrigation; applied in Italy; not legally binding. </t>
  </si>
  <si>
    <t>CSQA - Regional Quality Systems</t>
  </si>
  <si>
    <t>Some regions have set up so-called Regional Quality Systems, which presuppose the possibility of using a Regional Trademark on condition that specific specifications drawn up by the region are adhered to, and that the certification body passes the controls.</t>
  </si>
  <si>
    <t>https://www.csqa.it/it-it/certificazioni/agroalimentare/marchi-regionali</t>
  </si>
  <si>
    <t>Usage of a Regional Trademark on condition that specific specifications drawn up by the region are adhered to, and that the certification body passes the controls; applied in Italy; not legally binding.</t>
  </si>
  <si>
    <t>Integrated Crop Management Standard (CCPB - UNI 11233)</t>
  </si>
  <si>
    <t>Integrated Crop Management is an eco-friendly cultivation method using techniques that guarantee lower environmental impact and a reduction of the release into the environment of chemical substances, integrating these with natural input. CCPB offers farms, packaging and processing farms of agricultural products the plant production certification service according to Standard UNI 11233.</t>
  </si>
  <si>
    <t>https://www.ccpb.it/en/blog/certificazione/integrated-crop-management/</t>
  </si>
  <si>
    <t>An eco-friendly cultivation method using techniques that guarantee lower environmental impact; applied in Italy; not legally binding.</t>
  </si>
  <si>
    <t>Food Quality Assurance System (QAFP) of the Association of Meat Producers and Employers of the Meat Industry.</t>
  </si>
  <si>
    <t>Poland</t>
  </si>
  <si>
    <t>Compliance with the prohibition of injecting meat and subjecting it to any other treatments aimed at introducing water or any other additional substances.</t>
  </si>
  <si>
    <t>https://www.gov.pl/web/rolnictwo/system-gwarantowanej-jakosci-ywnosci-qafp</t>
  </si>
  <si>
    <t>Certifies that the meat products are not injected with water to increase the weight. A standard is a part of Food Quality Assurance System (QAFP) of the Association of Meat Producers and Employers of the Meat Industry; applied in Poland; not legally binding.</t>
  </si>
  <si>
    <t>Food Quality Assurance System (QAFP) of the Association of Meat Producers and Employers of the Meat Industry</t>
  </si>
  <si>
    <t>Pork loin</t>
  </si>
  <si>
    <t>Pork loin may be covered by the specified quality mark when its lightness, visually assessed based on comparison with the Pork Quality Standards, National Pork Board 1999 standard, falls within the range of 3.0-4.0. Additionally, its marbling, visually assessed based on comparison with the above standard, must fall within the range of 2.0-3.0.</t>
  </si>
  <si>
    <t>Certifies that the meat products satisfy certain visual characteristics.  A standard is a part of Food Quality Assurance System (QAFP) of the Association of Meat Producers and Employers of the Meat Industry; applied in Poland; not legally binding.</t>
  </si>
  <si>
    <t>Ham</t>
  </si>
  <si>
    <t>Ham may be covered by the specified quality mark when its lightness, visually assessed based on comparison with the Pork Quality Standards, National Pork Board 1999 standard, does not indicate the presence of meat quality defects such as PSE (Pale, Soft, Exudative) and DFD (Dark, Firm, Dry).</t>
  </si>
  <si>
    <t>Certifies that the ham satisfies certain visual characteristics.  A standard is a part of Food Quality Assurance System (QAFP) of the Association of Meat Producers and Employers of the Meat Industry; applied in Poland; not legally binding.</t>
  </si>
  <si>
    <t>Pork Quality System (PQS) developed by the Polish Association of Pig Breeders and Producers 'POLSUS' and the 'Polish Meat' Association</t>
  </si>
  <si>
    <t>Colour of meat.</t>
  </si>
  <si>
    <t>http://www.wieprzowinapqs.pl/strona-glowna/</t>
  </si>
  <si>
    <t>Certifies that the meat products satisfy certain colour characteristics.  A standard is a part of Food Quality Assurance System (QAFP) of the Association of Meat Producers and Employers of the Meat Industry; applied in Poland; not legally binding.</t>
  </si>
  <si>
    <t>Carcasses</t>
  </si>
  <si>
    <t>Colour of a meat (from light pink to pink).</t>
  </si>
  <si>
    <t>Product and Quality Requirements for
indirect goods destined for the Coop Group</t>
  </si>
  <si>
    <t>Denmark</t>
  </si>
  <si>
    <t xml:space="preserve">The product and quality requirements - environmentally sustainable production, processing, packaging and transportation. </t>
  </si>
  <si>
    <t xml:space="preserve">These requirements are intended to ensure that products offered by the members of the Coop Group are manufactured with attention to environmentally sustainable production, processing, packaging and transportation. The stringent requirements may have an effect on the amount of food that meets the standards. </t>
  </si>
  <si>
    <t>https://info.coop.dk/media/1797/product-and-quality-requirements-for-indirect-goods-june-2020.pdf</t>
  </si>
  <si>
    <t>Yes - research and development in  sustainable production, packaging and transportation.</t>
  </si>
  <si>
    <t>The product and quality requirements of the COOP group; international; not legally binding.</t>
  </si>
  <si>
    <t>Better for Nature &amp; Farmer</t>
  </si>
  <si>
    <t>Fruits and vegetables.</t>
  </si>
  <si>
    <t>With Better for Nature &amp; Farmer Albert Heijn (supermarket retailer) has a direct, unique collaboration with Dutch farmers and growers; investing in quality, innovation, animal welfare, climate and biodiversity. The basis is a healthy price for every farmer and grower, in every season.  Products with the 'Better for Nature &amp; Farmer' logo are the more sustainable choice. It is a private add-on to the Integrated Farm Assurance (IFA) standard for producers that supply the Dutch retailer Albert Heijn. It contains two modules that address a range of criteria for social compliance and sustainable production methods.</t>
  </si>
  <si>
    <t>https://www.globalgap.org/what-we-offer/solutions/ah-beter-voor-natuur-en-boer/</t>
  </si>
  <si>
    <t xml:space="preserve">Products with the 'Better for Nature &amp; Farmer' logo are sustainable - includes elements pertaining to quality, animal welfare, climate, biodiversity, sustainable production methods; applied in the Netherlands; not legally binding. </t>
  </si>
  <si>
    <t xml:space="preserve">Integral Chain Control (IKB) </t>
  </si>
  <si>
    <t>D, E, F, G, I, K</t>
  </si>
  <si>
    <t>Processing &amp; Manufacturing, Retail and Other Distribution (including wholesale), Food Services</t>
  </si>
  <si>
    <t>Participation to the scheme is voluntary. The scheme lays down sets of requirements for every part of the production chain, from hatcheries and breeding farms till meat processors.</t>
  </si>
  <si>
    <t>https://www.avined.nl/themas/kwaliteitsregelingen/ikbkip</t>
  </si>
  <si>
    <t>Yes - research and development in sustainable production methods for poultry.</t>
  </si>
  <si>
    <t>The voluntary scheme lays down sets of requirements for every part of the production chain, from hatcheries and breeding farms till meat processors; international; not legally binding.</t>
  </si>
  <si>
    <t>Beter Leven Keurmerk (Better Life Quality mark)</t>
  </si>
  <si>
    <t>Bovine, Pork, Poultry</t>
  </si>
  <si>
    <t xml:space="preserve">The Better Life quality mark is from the Animal Protection Society, which has the label guaranteed by independent certifying institutions. It is an instrument to make livestock farming more animal-friendly through consultation and gradual development. The Better Life quality mark helps you with this by providing insight into how well the animal behind your product has been cared for. By choosing products with a star, you choose products for which you know what the living conditions were like for the animal. And the more stars, the more animal-friendly and therefore the better the living conditions. </t>
  </si>
  <si>
    <t>https://beterleven.dierenbescherming.nl/over-het-keurmerk/wat-is-beter-leven/</t>
  </si>
  <si>
    <t xml:space="preserve">Yes - research and development into animal-friendly production methods. </t>
  </si>
  <si>
    <t>Animal welfare standard; applied in the Netherlands; not legally binding.</t>
  </si>
  <si>
    <t>Minimum quality specifications for fresh fruit and vegetables (UNECE)</t>
  </si>
  <si>
    <t>Public</t>
  </si>
  <si>
    <t>The UNECE Minimum Quality Specifications for Fresh Fruit and Vegetables are developed by the United Nations to provide a simple trading language which is to apply when trading fresh fruits and vegetables. it has the focus of supplying safety and qualitative food. It values as a minimum marketing quality which can be also used by countries where no national quality standard exists. </t>
  </si>
  <si>
    <t xml:space="preserve">
Basic requirements are named, while not meeting these, food can be rejected from customer sides and be wasted. Specifically, dirty or unfirms produce are not allowed. Overall requirements are: 
• hollowness provided the surrounding tissue is sound, fresh and not discoloured,
slight damages and cracks
• missing peduncle/calyx provided the adjacent tissue is not damaged
• sound; produce affected by rotting or deterioration such as to make it unfit for
consumption is excluded
• clean, practically free of any visible foreign matter
• practically free from pests
• practically free from damage caused by pests
• free of abnormal external moisture
• free of any foreign smell and/or taste.
The development and condition of the produce must be such as to enable them:
• to withstand transportation and handling
• to arrive in satisfactory condition at the place of destination.
In terms of appearance, the packed produce must be uniform, hence, the visible part must be representative for the rest of the boxes.</t>
  </si>
  <si>
    <t>https://unece.org/sites/default/files/2023-07/FFV-MinimumQuality_2020_e.pdf
https://unece.org/trade/wp7/FFV-Standards
https://comercio.gob.es/ImportacionExportacion/Controles/Legislacion-FFyHH/Paginas/Tabla-normas-calidad-folletos-FFyHH.aspx</t>
  </si>
  <si>
    <t>Sets UNECE Minimum Quality Specifications for Fresh Fruit and Vegetables; international; not legally binding.</t>
  </si>
  <si>
    <t>Standard Layout for UNECE standards on fresh fruit and vegetables</t>
  </si>
  <si>
    <t xml:space="preserve">
This is the base UNECE Norm which indicates all requirements that are specified per products. In the document it is visible which basic requirements and topics a fresh product needs to meet in order to be sold. </t>
  </si>
  <si>
    <t>Some of these requirements can lead to the rejection of dirty, wet or not uniform produce. </t>
  </si>
  <si>
    <t>https://unece.org/sites/default/files/2023-07/SL_FFV_2021_e_final.pdf
https://unece.org/trade/wp7/FFV-Standards
https://comercio.gob.es/ImportacionExportacion/Controles/Legislacion-FFyHH/Paginas/Tabla-normas-calidad-folletos-FFyHH.aspx</t>
  </si>
  <si>
    <t>A base UNECE Norm which indicates all requirements for fresh fruits &amp; vegetables; international; not legally binding.</t>
  </si>
  <si>
    <t xml:space="preserve">Oranges - UNECE Standard FFV-14 concerning the marketing and commercial quality control of citrus fruit </t>
  </si>
  <si>
    <t>Oranges</t>
  </si>
  <si>
    <t xml:space="preserve">Fruits &amp; Vegetables </t>
  </si>
  <si>
    <t>Guidance on the quality, grading and labelling requirements for citrus fruits specifically. This commercial quality standard has been developed by the Working Party on Agricultural Quality Standards of the United Nations Economic Commission for Europe (UNECE) to help facilitate international trade.</t>
  </si>
  <si>
    <t>A standard developed by the United Nations to secure food quality. Minimum criteria that the product needs to meet for securing quality are:
- complete without missing fruit parts 
- free from damages/ scares 
- free from mould
- clean, without visible dirt 
- free from parasites or insects
- free from damages due to parasites affecting the pulp 
- free from the onset of wilting and internal dehydration, without damages due to cold/frosts 
- free from abnormal taste or smell 
- The development and condition of the citrus fruits must be such that they can:
o withstand transportation and handling and
o arrive at their destination in a satisfactory condition.
- Ripening requirements: Minimum juice content of 45%; minimum sugar/acid ratio 6,5:1; and coloring. 
- Meeting the classification 
- Minimum size 53mm
- Only 5% of the complete batch are allowed to not meet the class-requirements
- Uniformity among limes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</si>
  <si>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https://unece.org/sites/default/files/2024-03/FFV-14_Citrus_fruit_2023_e.pdf</t>
  </si>
  <si>
    <t>Yes - research and development in sustainable packaging.</t>
  </si>
  <si>
    <t>Sets UNECE rules for  quality, grading and labelling requirements for citrus fruits; international; not legally binding.</t>
  </si>
  <si>
    <t xml:space="preserve">Mandarines - UNECE Standard FFV-14 concerning the marketing and commercial quality control of citrus fruit </t>
  </si>
  <si>
    <t>Mandarines</t>
  </si>
  <si>
    <t>A standard developed by the United Nations to secure food quality. Minimum criteria that the product needs to meet for securing quality are:
- complete without missing fruit parts 
- free from damages/ scares 
- free from mould
- clean, without visible dirt 
- free from parasites or insects
- free from damages due to parasites affecting the pulp 
- free from the onset of wilting and internal dehydration, without damages due to cold/frosts 
- free from abnormal taste or smell 
- The development and condition of the citrus fruits must be such that they can:
o withstand transportation and handling and
o arrive at their destination in a satisfactory condition.
- Ripening requirements: Minimum juice content of 45%; minimum sugar/acid ratio 6,5:1; and coloring. 
- Meeting the classification 
- Minimum size 45mm
- Only 5% of the complete batch are allowed to not meet the class-requirements
- Uniformity among limes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</si>
  <si>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 xml:space="preserve">Limes - UNECE Standard FFV-14 concerning the marketing and commercial quality control of citrus fruit </t>
  </si>
  <si>
    <t>Guidance on the quality, grading and labelling requirements for citrus fruits specifically. </t>
  </si>
  <si>
    <t>A standard developed by the United Nations to secure food quality. Minimum criteria that the product needs to meet for securing quality are:
- complete without missing fruit parts 
- free from damages/ scares 
- free from mould
- clean, without visible dirt 
- free from parasites or insects
- free from damages due to parasites affecting the pulp 
- free from the onset of wilting and internal dehydration, without damages due to cold/frosts 
- free from abnormal taste or smell 
- The development and condition of the citrus fruits must be such that they can:
o withstand transportation and handling and
o arrive at their destination in a satisfactory condition.
- Ripening requirements: Minimum juice content of 45%; minimum sugar/acid ratio 6,5:1; and coloring. 
- Meeting the classification 
- Minimum size 42mm (Persian limes) and 25mm (Mexican and Indian sweet limes)
- Only 5% of the complete batch are allowed to not meet the class-requirements
- Uniformity among limes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</si>
  <si>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 xml:space="preserve">Lemon - UNECE Standard FFV-14 concerning the marketing and commercial quality control of citrus fruit </t>
  </si>
  <si>
    <t>A standard developed by the United Nations to secure food quality. Minimum criteria that the product needs to meet for securing quality are: 
- complete without missing fruit parts 
- free from damages/ scares 
- free from mould
- clean, without visible dirt 
- free from parasites or insects
- free from damages due to parasites affecting the pulp 
- free from the onset of wilting and internal dehydration, without damages due to cold/frosts 
- free from abnormal taste or smell 
- The development and condition of the lemon fruits must be such that they can
o withstand transportation and handling and
o arrive at their destination in a satisfactory condition.
- Ripening requirements: Minimum juice content of 45%; minimum sugar/acid ratio 6,5:1; and colouring. 
- Meeting the classification: 
- Minimum size 45mm
- Only 5% of the complete batch are allowed to not meet the class-requirements 
- Uniformity among lemons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</si>
  <si>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Cucumber - UNECE Standard FFV-15 concerning the marketing and commercial quality control of cucumbers</t>
  </si>
  <si>
    <t>Guidance on the quality, grading and labelling requirements for cucumbers. </t>
  </si>
  <si>
    <t>A standard developed by the United Nations to secure food quality. Minimum criteria that the product needs to meet for securing quality are: 
- complete without missing fruit parts 
- free from damages/ scares 
- free from mould
- clean, without visible dirt 
- free from parasites or insects
- free from damages due to parasites affecting the pulp 
- free from bitter taste 
- free from abnormal external humidity
- free from the onset of wilting and internal dehydration, without damages due to cold/frosts 
- free from abnormal taste or smell 
- The development and condition of the citrus fruits must be such that they can
o withstand transportation and handling and
o arrive at their destination in a satisfactory condition
- Meeting the classification 
- Minimum size and weight 
- Only 5% of the complete batch are allowed to not meet the class-requirements 
- Uniformity among cucumber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</si>
  <si>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https://unece.org/sites/default/files/2023-12/FFV15_Cucumbers_2023_e.pdf</t>
  </si>
  <si>
    <t>Sets UNECE rules for  quality, grading and labelling requirements for cucumbers; international; not legally binding.</t>
  </si>
  <si>
    <t>Paprika - UNECE standard FFV-28 concerning the marketing and commercial quality control of sweet peppers</t>
  </si>
  <si>
    <t>Guidance on the quality, grading and labelling requirements for paprika. </t>
  </si>
  <si>
    <t>A standard developed by the United Nations to secure food quality. Minimum criteria that the product needs to meet for securing quality are: 
- complete without missing fruit parts 
- free from damages/ scares 
- free from mould
- firm
- clean, without visible dirt 
- free from parasites or insects
- provided with the handle
- free from damages due to parasites affecting the pulp 
- free from bitter taste 
- free from abnormal external humidity
- free from the onset of wilting and internal dehydration, without damages due to cold/frosts 
- free from abnormal taste or smell 
- The development and condition of the citrus fruits must be such that they can withstand transportation and handling, and arrive at their destination in a satisfactory condition.
- Meeting the classification: 
- minimum size and weight (diameter 20mm, weight 30 g if the heaviest piece weighs 180 g or less, 80 g if the lightest piece weighs more than 180 g but less than 260 g, No limit if the lightest piece weighs 260 g or more)
- only 10% of the complete batch are allowed to not meet the class-requirements 
- uniformity among paprika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</si>
  <si>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https://unece.org/sites/default/files/2024-03/FFV-28_Sweet_peppers_2023_e.pdf</t>
  </si>
  <si>
    <t>Sets UNECE rules for  quality, grading and labelling requirements for paprika; international; not legally binding.</t>
  </si>
  <si>
    <t>Tomatoes - UNECE standard FFV-36 concerning the marketing and commercial quality control of tomatoes</t>
  </si>
  <si>
    <t>Guidance on the quality, grading and labelling requirements for tomatoes. </t>
  </si>
  <si>
    <t>A standard developed by the United Nations to secure food quality. Minimum criteria that the product needs to meet for securing quality are: 
- complete without missing fruit parts 
- free from damages/ scares 
- free from mould
- clean, without visible dirt 
- free from parasites or insects
- free from damages due to parasites affecting the pulp 
- free from bitter taste 
- free from abnormal external humidity
- free from the onset of wilting and internal dehydration, without damages due to cold/frosts 
- free from abnormal taste or smell 
- The development and condition of the citrus fruits must be such that they can
o withstand transportation and handling and
o arrive at their destination in a satisfactory condition
- physiological maturity
- Meeting the classification 
- minimum size and weight  (10 mm if the diameter of the smallest fruit (as stated on the package) is less than 50 mm, 15 mm if the diameter of the smallest fruit (as stated on the package) is 50 mm or more but less than 70 mm, 20 mm if the diameter of the smallest fruit (as stated on the package) is 70 mm or more but less than 100 mm, there is no limit to the difference for fruit with a diameter of 100 mm or more.
- Only 10% of the complete batch are allowed to not meet the class-requirements 
- uniformity among tomatoes within the packaging and patches referring to origin, variety, class, size and ripening stage
- packaging -&gt; protecting the fruits 
- stickers on the product are not allowed to damage the product 
- Labelling with all relevant information (control stamp), readable and visible from outside </t>
  </si>
  <si>
    <t>https://unece.org/sites/default/files/2023-07/36_Tomatoes_e.pdf</t>
  </si>
  <si>
    <t>Sets UNECE rules for  quality, grading and labelling requirements for tomatoes; international; not legally binding.</t>
  </si>
  <si>
    <t>Standard for Raisins - CXS 67-1981 (CODEX)</t>
  </si>
  <si>
    <t xml:space="preserve">Raisins     </t>
  </si>
  <si>
    <t>A, B, C, D, E, F</t>
  </si>
  <si>
    <t>Processing &amp; Manufacturing, Retail and Other Distribution</t>
  </si>
  <si>
    <t>This standard applies to dried grapes of varieties conforming to the characteristics of Vitis vinifera L. which have been suitably treated or processed and which are offered for direct consumption as raisins or sultanas. It also covers raisins packed in bulk containers which are intended for repacking into consumer size containers. This standard does not include a similar dried vine fruit known as dried currants.</t>
  </si>
  <si>
    <t xml:space="preserve">Applies to the Codex in general:
The Codex Alimentarius is a voluntary guideline, but it has become significant in international food trade as it provides a benchmark for national food regulations under various international agreements. While it establishes universal standards for food safety and quality, it also requires the adoption of advanced technology and innovation, which can be expensive for developing countries. This disparity in technological and financial capacity may lead to increased food waste, as these countries struggle to comply with the demanding standards. (Silvee and Wu, 2023, https://ssrn.com/abstract=4589723)
The lack of a unified cross-country labelling system referring to food expiration dates may lead to food waste. The Codex provides recommendations for using two types of date labels on food products to differentiate between safety and quality. The "best-before" date indicates when a food will likely maintain its optimal taste and nutritional value while properly stored, whereas the "use-by" date is used for perishable items that might become a health risk shortly after their production. Misunderstanding between these two types, especially confusing "best-before" for "use-by," leads many consumers to unnecessarily discard food, thinking it has spoiled or lost quality. (Wilson et al., 2017, https://doi.org/10.1016/j.foodqual.2016.08.004). </t>
  </si>
  <si>
    <t>https://www.fao.org/fao-who-codexalimentarius/sh-proxy/en/?lnk=1&amp;url=https%253A%252F%252Fworkspace.fao.org%252Fsites%252Fcodex%252FStandards%252FCXS%2B67-1981%252FCXS_067e.pdf</t>
  </si>
  <si>
    <t>Applies to certain products that satisfy the characteristics laid down in the standard; international; not legally binding.</t>
  </si>
  <si>
    <t>Standard for Dired Aprricots - CXS 130-1981 (CODEX)</t>
  </si>
  <si>
    <t xml:space="preserve">Apricots    </t>
  </si>
  <si>
    <t>This Standard applies to dried fruits of Armeniaca vulgaria Lam. (Prunus armeniaca L.) which have been suitably treated or processed and which are offered for direct consumption. It also covers dried apricots which are packed in bulk containers and which are intended for repacking into consumer size containers or for direct sale to consumers.</t>
  </si>
  <si>
    <t>https://www.fao.org/fao-who-codexalimentarius/sh-proxy/en/?lnk=1&amp;url=https%253A%252F%252Fworkspace.fao.org%252Fsites%252Fcodex%252FStandards%252FCXS%2B130-1981%252FCXS_130e.pdf</t>
  </si>
  <si>
    <t>Standard for Dates - CXS 143-1985 (CODEX)</t>
  </si>
  <si>
    <t xml:space="preserve">Dates     </t>
  </si>
  <si>
    <t>This Standard applies to commercially prepared whole dates in pitted or un-pitted styles packed ready for direct consumption. It does not apply to other forms such as pieces or mashed dates or dates intended for industrial purposes.</t>
  </si>
  <si>
    <t>https://www.fao.org/fao-who-codexalimentarius/sh-proxy/en/?lnk=1&amp;url=https%253A%252F%252Fworkspace.fao.org%252Fsites%252Fcodex%252FStandards%252FCXS%2B143-1985%252FCXS_143e.pdf</t>
  </si>
  <si>
    <t>Standard for Pineapples - CXS 182-1993 (CODEX)</t>
  </si>
  <si>
    <t xml:space="preserve">Pineapples     </t>
  </si>
  <si>
    <t>A, B, C, D, E, F, J</t>
  </si>
  <si>
    <t>This Standard applies to commercial varieties of pineapples grown from Ananas comosus (L.) Merr., of the Bromeliaceae family, to be supplied fresh to the consumer, after preparation and packaging. Pineapples for industrial processing are excluded.</t>
  </si>
  <si>
    <t>https://www.fao.org/fao-who-codexalimentarius/sh-proxy/en/?lnk=1&amp;url=https%253A%252F%252Fworkspace.fao.org%252Fsites%252Fcodex%252FStandards%252FCXS%2B182-1993%252FCXS_182e.pdf</t>
  </si>
  <si>
    <t>Standard for Papaya - CXS 183-1993 (CODEX)</t>
  </si>
  <si>
    <t xml:space="preserve">Papaya     </t>
  </si>
  <si>
    <t>This Standard applies to fruits of commercial varieties of papayas grown from Carica papaya L., of the Caricaceae family, to be supplied fresh to the consumer, after preparation and packaging. Papayas for industrial processing are excluded.</t>
  </si>
  <si>
    <t>https://www.fao.org/fao-who-codexalimentarius/sh-proxy/en/?lnk=1&amp;url=https%253A%252F%252Fworkspace.fao.org%252Fsites%252Fcodex%252FStandards%252FCXS%2B183-1993%252FCXS_183e.pdf</t>
  </si>
  <si>
    <t>Standard for Mangoes - CXS 184-1993 (CODEX)</t>
  </si>
  <si>
    <t xml:space="preserve">Mangoes     </t>
  </si>
  <si>
    <t>This Standard applies to commercial varieties of mangoes grown from Mangifera indica L., of the Anacardiaceae family, to be supplied fresh to the consumer, after preparation and packaging. Mangoes for industrial processing are excluded.</t>
  </si>
  <si>
    <t>https://www.fao.org/fao-who-codexalimentarius/sh-proxy/en/?lnk=1&amp;url=https%253A%252F%252Fworkspace.fao.org%252Fsites%252Fcodex%252FStandards%252FCXS%2B184-1993%252FCXS_184e.pdf</t>
  </si>
  <si>
    <t>Standard for Prickly Pear - CXS 186-1993 (CODEX)</t>
  </si>
  <si>
    <t xml:space="preserve">Prickly Pear    </t>
  </si>
  <si>
    <t>This Standard applies to the fruit of commercial varieties of prickly pears grown from Opuntia ficus indica, O. streptachanthae, and O. lindheimeiri, of the Cactaceae family, to be supplied fresh to the consumer, after preparation and packaging. Prickly pears for industrial processing are excluded.</t>
  </si>
  <si>
    <t>https://www.fao.org/fao-who-codexalimentarius/sh-proxy/en/?lnk=1&amp;url=https%253A%252F%252Fworkspace.fao.org%252Fsites%252Fcodex%252FStandards%252FCXS%2B186-1993%252FCXS_186e.pdf</t>
  </si>
  <si>
    <t>Standard for Baby Corn - CXS 188-1993 (CODEX)</t>
  </si>
  <si>
    <t xml:space="preserve">Baby Corn    </t>
  </si>
  <si>
    <t>This Standard applies to the cobs, without the silk and anthers, of commercial varieties of baby corn (corn inflorescence) grown from Zea mays L, of the Gramineae family, separated from silk, husk and anthers, to be supplied fresh to the consumer, after preparation and packaging. Baby corn for industrial processing is excluded.</t>
  </si>
  <si>
    <t>https://www.fao.org/fao-who-codexalimentarius/sh-proxy/en/?lnk=1&amp;url=https%253A%252F%252Fworkspace.fao.org%252Fsites%252Fcodex%252FStandards%252FCXS%2B188-1993%252FCXS_188e.pdf</t>
  </si>
  <si>
    <t>Standard for Litchi - CXS 196-1995 (CODEX)</t>
  </si>
  <si>
    <t xml:space="preserve">Litchi     </t>
  </si>
  <si>
    <t>This Standard applies to commercial varieties (cultivars) of litchis grown from Litchi chinensis Sonn., of the Sapindaceae family, to be supplied fresh to the consumer, after preparation and packaging. Litchis for industrial processing are excluded.</t>
  </si>
  <si>
    <t>https://www.fao.org/fao-who-codexalimentarius/sh-proxy/en/?lnk=1&amp;url=https%253A%252F%252Fworkspace.fao.org%252Fsites%252Fcodex%252FStandards%252FCXS%2B196-1995%252FCXS_196e.pdf</t>
  </si>
  <si>
    <t>Standard for Avocado - CXS 197-1995 (CODEX)</t>
  </si>
  <si>
    <t xml:space="preserve">Avocado     </t>
  </si>
  <si>
    <t>This Standard applies to commercial varieties of avocados grown from Persea americana Mill., of the Lauraceae family, to be supplied fresh to the consumer, after preparation and packaging. Parthenocarpic fruit and avocados for industrial processing are excluded.</t>
  </si>
  <si>
    <t>https://www.fao.org/fao-who-codexalimentarius/sh-proxy/en/?lnk=1&amp;url=https%253A%252F%252Fworkspace.fao.org%252Fsites%252Fcodex%252FStandards%252FCXS%2B197-1995%252FCXS_197e.pdf</t>
  </si>
  <si>
    <t>Standard for Limes - CXS 213-1999 (CODEX)</t>
  </si>
  <si>
    <t xml:space="preserve">Limes     </t>
  </si>
  <si>
    <t>This Standard applies to commercial varieties of limes grown from Citrus latifolia Tanaka1, of the Rutaceae family, to be supplied fresh to the consumer, after preparation and packaging. Limes for industrial processing are excluded.</t>
  </si>
  <si>
    <t>https://www.fao.org/fao-who-codexalimentarius/sh-proxy/en/?lnk=1&amp;url=https%253A%252F%252Fworkspace.fao.org%252Fsites%252Fcodex%252FStandards%252FCXS%2B213-1999%252FCXS_213e.pdf</t>
  </si>
  <si>
    <t>Standard for Pummelos - CXS 214-1999 (CODEX)</t>
  </si>
  <si>
    <t xml:space="preserve">Pummelos     </t>
  </si>
  <si>
    <t>This Standard applies to commercial varieties of pummelos grown from Citrus grandis (L.) Osbeck (syn. C. maxima Merr.), of the Rutaceae family, to be supplied fresh to the consumer, after preparation and packaging. Pummelos for industrial processing are excluded.</t>
  </si>
  <si>
    <t>https://www.fao.org/fao-who-codexalimentarius/sh-proxy/en/?lnk=1&amp;url=https%253A%252F%252Fworkspace.fao.org%252Fsites%252Fcodex%252FStandards%252FCXS%2B214-1999%252FCXS_214e.pdf</t>
  </si>
  <si>
    <t>Standard for Guavas - CXS 215-1999 (CODEX)</t>
  </si>
  <si>
    <t xml:space="preserve">Guavas     </t>
  </si>
  <si>
    <t>This Standard applies to commercial varieties of guavas grown from Psidium guajava L., of the Myrtaceae family, to be supplied fresh to the consumer, after preparation and packaging. Guavas for industrial processing are excluded.</t>
  </si>
  <si>
    <t>https://www.fao.org/fao-who-codexalimentarius/sh-proxy/en/?lnk=1&amp;url=https%253A%252F%252Fworkspace.fao.org%252Fsites%252Fcodex%252FStandards%252FCXS%2B215-1999%252FCXS_215e.pdf</t>
  </si>
  <si>
    <t>Standard for Grapefruits -CXS 219-1999 (CODEX)</t>
  </si>
  <si>
    <t xml:space="preserve">Grapefruits     </t>
  </si>
  <si>
    <t>This Standard applies to commercial varieties of grapefruits grown from Citrus paradisi Macfad., of the Rutaceae family, to be supplied fresh to the consumer, after preparation and packaging. Grapefruits for industrial processing are excluded.</t>
  </si>
  <si>
    <t>https://www.fao.org/fao-who-codexalimentarius/sh-proxy/en/?lnk=1&amp;url=https%253A%252F%252Fworkspace.fao.org%252Fsites%252Fcodex%252FStandards%252FCXS%2B219-1999%252FCXS_219e.pdf</t>
  </si>
  <si>
    <t>Standard for Asparagus - CXS 225-2001 (CODEX)</t>
  </si>
  <si>
    <t xml:space="preserve">Asparagus     </t>
  </si>
  <si>
    <t>Standard for Asparagus
It specifies the quality requirements for different types of asparagus, including white, violet, violet/green, and green asparagus. The standards cover various aspects such as the minimum requirements for the produce, including it being whole, sound, clean, and free from pests and abnormal moisture. Asparagus is classified into three quality classes: Extra, Class I, and Class II, with specific criteria for each regarding the appearance, size, and condition of the shoots.
The document also includes provisions for sizing by length and diameter, ensuring uniformity within packages. Packaging and presentation guidelines are provided to protect the asparagus during transport and storage, with specific requirements for marking and labeling to ensure accurate consumer information. Additionally, the standards address contaminants, specifying that the produce must comply with the Codex General Standard for Contaminants and Toxins in Food and Feed, and it must meet maximum residue limits for pesticides. The document emphasizes hygiene practices during preparation and handling to ensure the safety and quality of the asparagus.</t>
  </si>
  <si>
    <t>https://www.fao.org/fao-who-codexalimentarius/sh-proxy/en/?lnk=1&amp;url=https%253A%252F%252Fworkspace.fao.org%252Fsites%252Fcodex%252FStandards%252FCXS%2B225-2001%252FCXS_225e.pdf</t>
  </si>
  <si>
    <t>Standard for Cape Gooseberry - CXS 226-2001 (CODEX)</t>
  </si>
  <si>
    <t xml:space="preserve">Cape Gooseberry    </t>
  </si>
  <si>
    <t>Standard for Cape Gooseberry
The standard  focusing on the quality and safety requirements for the fresh produce intended for human consumption. It specifies that the cape gooseberries must be whole, sound, clean, and free from pests and abnormal moisture, ensuring they are fit for consumption. The standards classify the fruit into three quality classes—Extra, Class I, and Class II—based on appearance, size, and overall condition, with clear criteria for each class.
The document also details the sizing requirements, with size determined by the diameter of the fruit. Packaging and presentation standards are provided to ensure the produce is properly protected and presented during transport and sale. Additionally, the document includes comprehensive labeling guidelines, requiring information such as the nature of the produce, origin, and commercial identification to be clearly marked on the packaging.
The standards also address contaminants, mandating compliance with maximum levels for contaminants and pesticide residues as established by the Codex Alimentarius Commission. Hygiene practices are emphasized to ensure the produce is handled safely, with adherence to relevant food hygiene codes. These standards ensure that cape gooseberries meet high-quality, safety, and labeling requirements for the global market.</t>
  </si>
  <si>
    <t>https://www.fao.org/fao-who-codexalimentarius/sh-proxy/en/?lnk=1&amp;url=https%253A%252F%252Fworkspace.fao.org%252Fsites%252Fcodex%252FStandards%252FCXS%2B226-2001%252FCXS_226e.pdf</t>
  </si>
  <si>
    <t>Standard for Pitahayas - CXS 237-2003 (CODEX)</t>
  </si>
  <si>
    <t xml:space="preserve">Pitahayas     </t>
  </si>
  <si>
    <t>Standard for Pitahayas
These standards cover various aspects, including minimum quality requirements, classification, sizing, presentation, and labeling.
The quality standards require that pitahayas be whole, sound, clean, and free from pests, damage, and abnormal moisture. The fruit must also be firm, fresh in appearance, and free of cracks in the skin. Pitahayas are classified into three quality classes: "Extra," Class I, and Class II, based on the degree of defects allowed in the fruit's shape and skin.
Size is determined by the weight of the fruit, with different size codes assigned based on the weight ranges for yellow, red, and white pitahayas. They also set tolerances for quality and size variations within each package.
Presentation requirements emphasize uniformity within packages, proper packaging to protect the fruit, and the use of new, clean materials that prevent damage. Labeling standards include the identification of the produce, origin, commercial identification, and other relevant information, ensuring that the fruit is accurately represented and traceable.
The document also includes guidelines for contaminants, requiring compliance with maximum levels for contaminants and pesticide residues, as well as hygiene practices to ensure the fruit is safe for consumption. These standards ensure that pitahayas meet the necessary criteria for quality, safety, and market distribution.</t>
  </si>
  <si>
    <t>https://www.fao.org/fao-who-codexalimentarius/sh-proxy/en/?lnk=1&amp;url=https%253A%252F%252Fworkspace.fao.org%252Fsites%252Fcodex%252FStandards%252FCXS%2B237-2003%252FCXS_237e.pdf</t>
  </si>
  <si>
    <t>Standard for Oranges - CXS 245-2004 (CODEX)</t>
  </si>
  <si>
    <t xml:space="preserve">Oranges     </t>
  </si>
  <si>
    <t>Standard for Oranges
These standards specify the minimum quality requirements for oranges, including that they must be whole, sound, clean, and free from pests, damage, and abnormal moisture. The standards classify oranges into three quality classes: "Extra," Class I, and Class II, with each class having specific criteria for appearance, size, and condition.
The document also details maturity criteria, including minimum juice content and appropriate coloring, and provides guidelines for sizing based on the diameter of the fruit. Provisions for presentation and packaging ensure that oranges are protected during transport and storage, with packaging materials required to be clean and of food-grade quality.
Labeling requirements are specified to include information such as the name of the produce, origin, and commercial identification, ensuring that consumers receive accurate information. Additionally, the standards address contaminants, requiring compliance with maximum levels for contaminants and pesticide residues, as established by the Codex Alimentarius Commission. Hygiene practices are emphasized to ensure the oranges are prepared and handled safely, following recommended international codes of practice. These standards ensure that oranges meet the necessary quality, safety, and labeling criteria for market distribution.</t>
  </si>
  <si>
    <t>https://www.fao.org/fao-who-codexalimentarius/sh-proxy/en/?lnk=1&amp;url=https%253A%252F%252Fworkspace.fao.org%252Fsites%252Fcodex%252FStandards%252FCXS%2B245-2004%252FCXS_245e.pdf</t>
  </si>
  <si>
    <t>Standard for Grapes - CXS 255-2007 (CODEX)</t>
  </si>
  <si>
    <t xml:space="preserve">Grapes    </t>
  </si>
  <si>
    <t>Standard for Table Grapes
These standards specify the quality requirements, including that the grapes must be whole, sound, clean, and free from pests, damage, and abnormal moisture. The grapes are classified into three quality classes: "Extra," Class I, and Class II, each with specific criteria for appearance, size, and condition.
The standards also address maturity requirements, with the fruit needing to meet specific sugar content levels (measured in degrees Brix) to ensure proper ripeness. Provisions for sizing are based on the weight of the bunches, with a minimum weight requirement of 75 grams.
Packaging and presentation guidelines ensure that table grapes are protected during transport and storage, with containers needing to meet specific quality and hygiene standards. Labeling requirements are included to provide accurate information about the produce, such as the variety and origin of the grapes.
Additionally, the document includes guidelines for controlling contaminants and pesticide residues, ensuring that table grapes comply with the Codex General Standard for Contaminants and Toxins in Food and Feed. Hygiene practices are emphasized to ensure that the grapes are prepared and handled safely, following international food hygiene codes. These standards aim to ensure that table grapes meet the necessary quality, safety, and labeling requirements for market distribution.</t>
  </si>
  <si>
    <t>https://www.fao.org/fao-who-codexalimentarius/sh-proxy/en/?lnk=1&amp;url=https%253A%252F%252Fworkspace.fao.org%252Fsites%252Fcodex%252FStandards%252FCXS%2B255-2007%252FCXS_255e.pdf</t>
  </si>
  <si>
    <t>Standard for Tomatoes - CXS 293-2008 (CODEX)</t>
  </si>
  <si>
    <t xml:space="preserve">Tomatoes     </t>
  </si>
  <si>
    <t>Standard for Tomatoes
These standards apply to various commercial types of tomatoes, including round, ribbed, oblong (or elongated), and cherry/cocktail tomatoes. The standards specify minimum quality requirements, including that the tomatoes must be whole, sound, clean, and free from pests, damage, and abnormal moisture.
Tomatoes are classified into three quality classes: "Extra," Class I, and Class II, with each class having specific criteria for appearance, size, and condition. The document also addresses maturity requirements, ensuring that tomatoes are sufficiently developed and display satisfactory ripeness.
Sizing provisions are based on the diameter of the tomatoes, with specific size codes provided. Tolerances for quality and size deviations are allowed within certain limits. The standards also include guidelines for presentation, packaging, and labeling, ensuring that tomatoes are protected during transport and accurately labeled with necessary information such as the nature of the produce, its origin, and commercial identification.
Additionally, the document emphasizes the importance of compliance with maximum levels for contaminants and pesticide residues, as established by the Codex Alimentarius Commission, and recommends adherence to international codes of practice for food hygiene. These standards ensure that tomatoes meet the necessary quality, safety, and labeling criteria for market distribution.</t>
  </si>
  <si>
    <t xml:space="preserve">Applies to the Codex in general:
The Codex Alimentarius is a voluntary guideline, but it has become significant in international food trade as it provides a benchmark for national food regulations under various international agreements. While it establishes universal standards for food safety and quality, it also requires the adoption of advanced technology and innovation, which can be expensive for developing countries. This disparity in technological and financial capacity may lead to increased food waste, as these countries struggle to comply with the demanding standards. (Silvee and Wu, 2023, https://ssrn.com/abstract=4589723)
The lack of a unified cross-country labelling system referring to food expiration dates may lead to food waste. The Codex provides recommendations for using two types of date labels on food products to differentiate between safety and quality. The "best-before" date indicates when a food will likely maintain its optimal taste and nutritional value while properly stored, whereas the "use-by" date is used for perishable items that might become a health risk shortly after their production. Misunderstanding between these two types, especially confusing "best-before" for "use-by," leads many consumers to unnecessarily discard food, thinking it has spoiled or lost quality. (Wilson et al., 2017, https://doi.org/10.1016/j.foodqual.2016.08.004) </t>
  </si>
  <si>
    <t>https://www.fao.org/fao-who-codexalimentarius/sh-proxy/en/?lnk=1&amp;url=https%253A%252F%252Fworkspace.fao.org%252Fsites%252Fcodex%252FStandards%252FCXS%2B293-2008%252FCXS_293e.pdf</t>
  </si>
  <si>
    <t>Standards for Apples - CXS 299-2010 (CODEX)</t>
  </si>
  <si>
    <t xml:space="preserve">Apples     </t>
  </si>
  <si>
    <t>Standard for Apples
These standards specify the quality requirements for apples, including that they must be whole, sound, clean, and free from pests, damage, and abnormal moisture. Apples are classified into three quality classes: "Extra," Class I, and Class II, with each class having specific criteria for defects, coloring, and overall appearance.
The standards also include provisions for sizing, where the size of apples is determined by their diameter or weight. Tolerances are allowed for both quality and size, with specific limits on the extent of permissible defects.
For presentation, the standards emphasize uniformity within packages, ensuring that apples in each package are consistent in quality, size, and variety. The packaging must protect the apples during transport and handling, and the materials used must be clean and of food-grade quality.
Labeling requirements include the nature of the produce, its origin, and commercial identification, ensuring that consumers receive accurate information about the apples they purchase. The standards also address contaminants, requiring compliance with the maximum levels of contaminants and pesticide residues, as well as adherence to international food hygiene practices. These standards ensure that apples meet the necessary criteria for quality, safety, and market distribution.</t>
  </si>
  <si>
    <t>https://www.fao.org/fao-who-codexalimentarius/sh-proxy/en/?lnk=1&amp;url=https%253A%252F%252Fworkspace.fao.org%252Fsites%252Fcodex%252FStandards%252FCXS%2B299-2010%252FCXS_299e.pdf</t>
  </si>
  <si>
    <t>Standard for Tree Tomatoes - CXS 303-2011 (CODEX)</t>
  </si>
  <si>
    <t xml:space="preserve">Tree Tomatoes    </t>
  </si>
  <si>
    <t>Standard for Tree Tomatoes
These standards specify the minimum quality requirements, ensuring that tree tomatoes are whole, sound, clean, and free from pests, damage, and abnormal moisture. The fruit must also be firm, fresh in appearance, and have the stalk present.
Tree tomatoes are classified into three quality classes: "Extra," Class I, and Class II, each with specific criteria for defects in shape, skin, and overall appearance. Sizing is determined by diameter, weight, or count, and specific size codes are provided.
The standards also include provisions for presentation and packaging, emphasizing the need for uniformity within packages and the use of new, clean materials that protect the fruit during transport. Labeling requirements are detailed, ensuring that consumer packages and non-retail containers are properly marked with information such as the nature of the produce, origin, and commercial identification.
Additionally, the document addresses contaminant control, requiring compliance with maximum levels for contaminants and pesticide residues as established by the Codex Alimentarius Commission. Hygiene practices are recommended to ensure that tree tomatoes are prepared and handled safely, in line with international food hygiene standards. These standards ensure that tree tomatoes meet the necessary quality, safety, and labeling criteria for market distribution.</t>
  </si>
  <si>
    <t>https://www.fao.org/fao-who-codexalimentarius/sh-proxy/en/?lnk=1&amp;url=https%253A%252F%252Fworkspace.fao.org%252Fsites%252Fcodex%252FStandards%252FCXS%2B303-2011%252FCXS_303e.pdf</t>
  </si>
  <si>
    <t>Standard for Chilli Peppers -CXS 307-2011 (CODEX)</t>
  </si>
  <si>
    <t xml:space="preserve">Chilli Peppers    </t>
  </si>
  <si>
    <t>Standard for Chilli Peppers
These standards specify that chili peppers must be whole, firm, clean, and free from pests, damage, and abnormal moisture. The classification system divides chili peppers into three classes: "Extra," Class I, and Class II, each with specific criteria regarding the extent of permissible defects.
Size determination is based on the length of the chili peppers, with specific size codes provided. The standards also allow for certain tolerances in quality and size within each package. Presentation and packaging guidelines emphasize the need for uniformity within packages and the use of clean, new materials to protect the produce.
Labeling requirements ensure that both consumer and non-retail packages accurately identify the produce, including details such as variety, size, and, optionally, the level of pungency. The document also sets out maximum levels for contaminants and pesticide residues, and it emphasizes adherence to proper hygiene practices during handling and preparation to ensure the safety of the chili peppers. These standards aim to ensure that chili peppers meet the necessary quality, safety, and labeling criteria for market distribution.</t>
  </si>
  <si>
    <t>https://www.fao.org/fao-who-codexalimentarius/sh-proxy/en/?lnk=1&amp;url=https%253A%252F%252Fworkspace.fao.org%252Fsites%252Fcodex%252FStandards%252FCXS%2B307-2011%252FCXS_307e.pdf</t>
  </si>
  <si>
    <t>Standard for Pomegranates - CXS 310-2013 (CODEX)</t>
  </si>
  <si>
    <t xml:space="preserve">Pomegranates   </t>
  </si>
  <si>
    <t>Standard for Pomegranate
These standards specify the quality requirements for pomegranates, including that they must be whole, sound, clean, and free from pests, damage, and abnormal moisture. Pomegranates are classified into three quality classes: "Extra," Class I, and Class II, with each class having specific criteria for defects, appearance, and overall condition.
The standards include provisions for sizing, which can be determined by count, diameter, or weight, and provide size codes for consistent categorization. Tolerances for quality and size are allowed within defined limits, ensuring uniformity within packages.
Presentation and packaging guidelines emphasize the protection of the fruit during transport, with packaging materials required to be clean and suitable for food contact. The labeling requirements include information such as the nature of the produce, variety, origin, and commercial identification, ensuring accurate consumer information.
Additionally, the document addresses contaminant control, mandating compliance with maximum levels of contaminants and pesticide residues as established by the Codex Alimentarius Commission. The standards also emphasize the importance of adhering to proper hygiene practices during the preparation and handling of pomegranates to ensure they meet safety and quality standards for market distribution.</t>
  </si>
  <si>
    <t>https://www.fao.org/fao-who-codexalimentarius/sh-proxy/en/?lnk=1&amp;url=https%253A%252F%252Fworkspace.fao.org%252Fsites%252Fcodex%252FStandards%252FCXS%2B310-2013%252FCXS_310e.pdf</t>
  </si>
  <si>
    <t>Standard for Passion Fruit - CXS 316-2014 (CODEX)</t>
  </si>
  <si>
    <t xml:space="preserve">Passion Fruit    </t>
  </si>
  <si>
    <t>Standard for Passion Fruit 
These standards specify the quality requirements for passion fruits, including that they must be whole, fresh in appearance, firm, clean, and free from pests, damage, and abnormal moisture. The fruit is classified into three quality classes: "Extra," Class I, and Class II, with each class having specific criteria regarding defects, shape, and skin condition.
The standards also cover sizing, which can be determined by diameter, weight, or count. Tolerances are allowed for quality and size within each package, ensuring consistency. Presentation and packaging guidelines emphasize the use of clean, new materials to protect the fruit during transport, and the need for uniformity within packages.
Labeling requirements include the identification of the produce, its origin, and commercial details to ensure accurate consumer information. The document also addresses contaminant control, mandating compliance with maximum levels for contaminants and pesticide residues. Additionally, hygiene practices are recommended to ensure that passion fruits are handled safely and meet international food safety standards. These standards ensure that passion fruits meet the necessary quality, safety, and labeling criteria for global market distribution.</t>
  </si>
  <si>
    <t>https://www.fao.org/fao-who-codexalimentarius/sh-proxy/en/?lnk=1&amp;url=https%253A%252F%252Fworkspace.fao.org%252Fsites%252Fcodex%252FStandards%252FCXS%2B316-2014%252FCXS_316e_2014.pdf</t>
  </si>
  <si>
    <t>Standard for Aubergines - CXS 330-2018 (CODEX)</t>
  </si>
  <si>
    <t xml:space="preserve">Aubergines     </t>
  </si>
  <si>
    <t>Standard for Aubergines
These standards define the quality requirements for aubergines, specifying that they must be whole, firm, clean, and free from pests, damage, and abnormal moisture. The standards classify aubergines into three quality classes: "Extra," Class I, and Class II, each with specific criteria for defects, shape, and overall appearance.
The standards also include provisions for sizing, which can be determined by diameter, weight, or length, with specific tolerances allowed within each size category. Packaging and presentation guidelines emphasize uniformity within packages and the use of clean, food-grade materials to protect the produce during transport and storage.
Labeling requirements ensure that both consumer and non-retail packages accurately identify the produce, including details such as the type of aubergine, its origin, and commercial specifications. The document also addresses the control of contaminants, requiring compliance with maximum levels for pesticides and other contaminants as established by the Codex Alimentarius Commission. Hygiene practices are emphasized to ensure that aubergines are prepared and handled safely, in line with international food safety standards. These standards ensure that aubergines meet the necessary quality, safety, and labeling criteria for market distribution.</t>
  </si>
  <si>
    <t>https://www.fao.org/fao-who-codexalimentarius/sh-proxy/en/?lnk=1&amp;url=https%253A%252F%252Fworkspace.fao.org%252Fsites%252Fcodex%252FStandards%252FCXS%2B330-2018%252FCXS_330e.pdf</t>
  </si>
  <si>
    <t>Standard for fresh garlic - CXS 337-2020 (CODEX)</t>
  </si>
  <si>
    <t xml:space="preserve">Fresh garlic    </t>
  </si>
  <si>
    <t>Standard for fresh garlic
These standards cover the quality requirements, including that garlic must be whole, sound, clean, and free from pests, damage, and abnormal moisture. Garlic is classified into three quality classes: "Extra," Class I, and Class II, each with specific criteria regarding defects, shape, and overall appearance.
The standards also include provisions for sizing, which can be determined by diameter, with specific size codes provided. Packaging and presentation guidelines emphasize the use of clean, food-grade materials to protect the garlic during transport and storage. Labeling requirements ensure accurate identification of the produce, including details such as the type of garlic, its origin, and commercial specifications.
The document also addresses the control of contaminants, requiring compliance with maximum levels for pesticides and other contaminants as established by the Codex Alimentarius Commission. Additionally, proper hygiene practices are emphasized to ensure that garlic is prepared and handled safely, in line with international food safety standards. These standards ensure that fresh garlic meets the necessary quality, safety, and labeling criteria for market distribution.</t>
  </si>
  <si>
    <t>https://www.fao.org/fao-who-codexalimentarius/sh-proxy/en/?lnk=1&amp;url=https%253A%252F%252Fworkspace.fao.org%252Fsites%252Fcodex%252FStandards%252FCXS%2B337-2020%252FCXS_337e.pdf</t>
  </si>
  <si>
    <t>Standard for Kiwi fruit - CXS 338-2020 (CODEX)</t>
  </si>
  <si>
    <t xml:space="preserve">Kiwi fruit     </t>
  </si>
  <si>
    <t>Standard for kiwifruit
The kiwifruit must be whole, sound, clean, and free from pests, damage, and abnormal moisture. The standards classify kiwifruit into three quality classes: "Extra," Class I, and Class II, each with specific criteria regarding defects, shape, and overall appearance.
The document also provides provisions for sizing, with kiwifruit classified by weight, and includes size tolerances to ensure uniformity within packages. Packaging and presentation guidelines emphasize the use of clean, food-grade materials that protect the fruit during transport and storage, ensuring that packages are uniform and representative of their contents.
Labeling requirements ensure accurate identification of the kiwifruit, including details such as the name of the produce, its origin, and commercial specifications. The standards also address contaminant control, mandating compliance with maximum levels for pesticides and other contaminants as set by the Codex Alimentarius Commission. Additionally, proper hygiene practices are emphasized to ensure that kiwifruit is handled safely, aligning with international food safety standards. These standards ensure that kiwifruit meets the necessary quality, safety, and labeling criteria for market distribution.</t>
  </si>
  <si>
    <t>https://www.fao.org/fao-who-codexalimentarius/sh-proxy/en/?lnk=1&amp;url=https%253A%252F%252Fworkspace.fao.org%252Fsites%252Fcodex%252FStandards%252FCXS%2B338-2020%252FCXS_338e.pdf</t>
  </si>
  <si>
    <t>Standard for dried or dehydrated garlic - CXS 347-2019 (CODEX)</t>
  </si>
  <si>
    <t xml:space="preserve">Dried or dehydrated garlic  </t>
  </si>
  <si>
    <t>Standard for dried or dehydrated garlic
These standards cover the essential composition and quality factors, specifying that the garlic must be dried from the cloves or bulb of Allium sativum L. and be free from any foreign odors, colors, flavors, or mustiness. The garlic can be presented in various styles, including whole, cracked / broken, or ground / powdered.
Limits are set on moisture content, ash content, and volatile organic sulfur compounds to ensure the product's quality. The document also outlines the permissible levels of extraneous matter, foreign matter, mold, and insect contamination, ensuring the product is safe and suitable for consumption.
Food additives such as anticaking agents are permitted in powdered garlic, in accordance with the General Standard for Food Additives. The standards also emphasize the importance of hygiene, recommending that the product be prepared and handled according to specific Codex hygiene practices to prevent contamination.
Labeling requirements are detailed, including information on the product name, lot identification, manufacturer details, and storage instructions. For non-retail containers, labeling should comply with the General Standard for the Labelling of Non-Retail Containers of Foods. Additionally, the document includes methods for analysis and sampling to verify compliance with these standards, ensuring that dried or dehydrated garlic meets the necessary safety, quality, and labeling criteria for market distribution.</t>
  </si>
  <si>
    <t>https://www.fao.org/fao-who-codexalimentarius/sh-proxy/en/?lnk=1&amp;url=https%253A%252F%252Fworkspace.fao.org%252Fsites%252Fcodex%252FStandards%252FCXS%2B347-2019%252FCXS_347e.pdf</t>
  </si>
  <si>
    <t>Standard for Onions and Shallots - CXS 348-2022 (CODEX)</t>
  </si>
  <si>
    <t xml:space="preserve">Onions and Shallots   </t>
  </si>
  <si>
    <t>Standard for Onions and Shallots
These standards specify the quality requirements, including that the onions and shallots must be whole, firm, clean, and free from pests, damage, and abnormal moisture. The products are classified into three quality classes: "Extra," Class I, and Class II, each with specific criteria for defects, shape, and overall appearance.
The standards also provide provisions for sizing based on the diameter of the bulbs, ensuring uniformity within each package. Guidelines for presentation and packaging emphasize the protection of the produce during transport, with packaging materials required to be clean and suitable for food contact.
Labeling requirements are detailed to ensure accurate consumer information, including the name of the produce, its origin, and commercial specifications. The standards also cover contaminant control, requiring compliance with maximum residue limits for pesticides and other contaminants as established by the Codex Alimentarius Commission. Additionally, the document emphasizes the importance of hygiene practices in the preparation and handling of onions and shallots to meet international food safety standards. These standards ensure that onions and shallots meet the necessary quality, safety, and labeling criteria for market distribution.</t>
  </si>
  <si>
    <t>https://www.fao.org/fao-who-codexalimentarius/sh-proxy/en/?lnk=1&amp;url=https%253A%252F%252Fworkspace.fao.org%252Fsites%252Fcodex%252FStandards%252FCXS%2B348-2022%252FCXS_348e.pdf</t>
  </si>
  <si>
    <t>Standard for Berry Fruits - CXS 349-2022 (CODEX)</t>
  </si>
  <si>
    <t xml:space="preserve">Berry Fruits    </t>
  </si>
  <si>
    <t>Standard for Berry Fruits
These standards cover a wide variety of berries, including blackberries, raspberries, blueberries, cranberries, gooseberries, and many others. The standards specify the quality requirements, ensuring that the berries are whole, sound, clean, and free from pests, damage, and abnormal moisture. The fruits are classified into three quality classes: "Extra," Class I, and Class II, with each class having specific criteria regarding defects, shape, and overall appearance.
The document also provides optional provisions for sizing, which can be based on trade practices, and includes tolerances for quality and size variations within each lot. Guidelines for presentation and packaging emphasize the need for uniformity within packages and the use of clean, food-grade materials that protect the berries during transport and storage.
Labeling requirements ensure accurate identification of the produce, including the name of the berries, their origin, and commercial specifications. The standards also cover contaminant control, requiring compliance with maximum residue limits for pesticides and other contaminants as established by the Codex Alimentarius Commission. Additionally, the document emphasizes the importance of hygiene practices in the preparation and handling of berries to meet international food safety standards. These standards ensure that berry fruits meet the necessary quality, safety, and labeling criteria for market distribution.</t>
  </si>
  <si>
    <t>https://www.fao.org/fao-who-codexalimentarius/sh-proxy/en/?lnk=1&amp;url=https%253A%252F%252Fworkspace.fao.org%252Fsites%252Fcodex%252FStandards%252FCXS%2B349-2022%252FCXS_349e.pdf</t>
  </si>
  <si>
    <t>Standard for Chilli Pepper and Paprika - CXS 353-2022 (CODEX)</t>
  </si>
  <si>
    <t xml:space="preserve">Chilli Pepper and Paprika  </t>
  </si>
  <si>
    <t>Standard for Dried or Dehydrated Chilli Pepper and Paprika
These standards specify the quality requirements, including the permissible moisture content, total ash, acid-insoluble ash, and other chemical and physical properties. The chili peppers and paprika can be presented in various forms, such as whole, crushed, or ground, and must have a characteristic odour, flavour, and color free from foreign elements or adulteration.
The standards also regulate the use of food additives, particularly anticaking agents in powdered forms, and emphasize strict hygiene practices during processing to prevent contamination. Contaminant control is mandated, ensuring compliance with maximum residue limits for pesticides and other contaminants as established by the Codex Alimentarius Commission. Additionally, the document details labeling requirements, including the name of the product, country of origin, and commercial identification, ensuring that the product is properly identified and meets international safety and quality standards for market distribution.</t>
  </si>
  <si>
    <t>https://www.fao.org/fao-who-codexalimentarius/sh-proxy/en/?lnk=1&amp;url=https%253A%252F%252Fworkspace.fao.org%252Fsites%252Fcodex%252FStandards%252FCXS%2B353-2022%252FCXS_353e.pdf</t>
  </si>
  <si>
    <t>Standard for Beef - CXS 88-1981 (CODEX)</t>
  </si>
  <si>
    <t xml:space="preserve">Beef    </t>
  </si>
  <si>
    <t>A, C, D, E, F</t>
  </si>
  <si>
    <t>Standard for Corned Beef
These standards cover the essential composition and quality factors, including the use of uncured beef and specific curing ingredients, such as food-grade salt and sodium or potassium nitrite. The standards ensure that the product is prepared from high-quality raw materials, free from objectionable odors and flavors, and is processed in a way that guarantees commercial sterility and shelf stability. Additionally, the document specifies guidelines for food additives, contaminants, hygiene practices, labeling requirements, and methods of analysis to ensure the final product meets the necessary safety, quality, and labeling standards for consumer protection and international trade.</t>
  </si>
  <si>
    <t>https://www.fao.org/fao-who-codexalimentarius/sh-proxy/en/?lnk=1&amp;url=https%253A%252F%252Fworkspace.fao.org%252Fsites%252Fcodex%252FStandards%252FCXS%2B88-1981%252FCXS_088e.pdf</t>
  </si>
  <si>
    <t>Standard for Pork - CXS 97-1981 (CODEX)</t>
  </si>
  <si>
    <t xml:space="preserve">Pork   </t>
  </si>
  <si>
    <t>Standard for Cooked Cured Pork Shoulder
These standards apply to products made from the hind leg of a pig, which are cured and may be smoked or flavoured. The standards cover essential composition and quality factors, such as the required meat content, acceptable ingredients, and the curing process. It also includes guidelines for the use of food additives, control of contaminants, and hygiene practices to ensure the safety and quality of the final product. Additionally, the document provides detailed requirements for labeling, including specific designations like "with skin" or "smoked," as well as methods for analysis and sampling to verify compliance with the standards.</t>
  </si>
  <si>
    <t>https://www.fao.org/fao-who-codexalimentarius/sh-proxy/en/?lnk=1&amp;url=https%253A%252F%252Fworkspace.fao.org%252Fsites%252Fcodex%252FStandards%252FCXS%2B96-1981%252FCXS_096e.pdf</t>
  </si>
  <si>
    <t>Standard for chopped meat - CXS 98-1981 (CODEX)</t>
  </si>
  <si>
    <t xml:space="preserve">Chopped Meat  </t>
  </si>
  <si>
    <t xml:space="preserve">Standard for Cooked Cured Chopped Meat
These standards apply to products made from coarsely chopped meat, which can include bovine meat, and specify that the meat must be cured and may be smoked. The standards cover essential composition and quality factors, including the required meat content, permissible ingredients, and fat content. It also provides guidelines for the use of food additives, control of contaminants, and strict hygiene practices during processing. The standards ensure that the final product is safe, of high quality, and properly labeled, including details about the type of meat used, its preparation, and storage instructions. </t>
  </si>
  <si>
    <t>https://www.fao.org/fao-who-codexalimentarius/sh-proxy/en/?lnk=1&amp;url=https%253A%252F%252Fworkspace.fao.org%252Fsites%252Fcodex%252FStandards%252FCXS%2B98-1981%252FCXS_098e.pdf</t>
  </si>
  <si>
    <t>Standard for Wheat Flour - CXS 152-1985 (CODEX)</t>
  </si>
  <si>
    <t xml:space="preserve">Wheat Flour    </t>
  </si>
  <si>
    <t>Standard for Wheat Flour
These standards specify the quality and composition requirements for wheat flour, including the type of wheat used (common wheat or club wheat) and the acceptable moisture content. The document also details the permissible food additives, such as enzymes and flour treatment agents, and sets strict limits on contaminants like heavy metals, pesticide residues, and mycotoxins. Additionally, the standards emphasize the importance of hygiene in processing and packaging, ensuring that the flour is free from harmful microorganisms and other objectionable matter. Labeling requirements are also covered, mandating that the product be clearly labeled as "wheat flour" and providing guidelines for packaging materials to safeguard the product's quality.</t>
  </si>
  <si>
    <t>https://www.fao.org/fao-who-codexalimentarius/sh-proxy/en/?lnk=1&amp;url=https%253A%252F%252Fworkspace.fao.org%252Fsites%252Fcodex%252FStandards%252FCXS%2B152-1985%252FCXS_152e.pdf</t>
  </si>
  <si>
    <t>Standard for Maize - CXS 153-1985 (CODEX)</t>
  </si>
  <si>
    <t xml:space="preserve">Maize (Corn)    </t>
  </si>
  <si>
    <t xml:space="preserve">Standard for Maize (Corn)
These standards cover the essential composition and quality factors, including the specific requirements for whole grain shelled dent maize and shelled flint maize. The standards mandate that maize must be safe and suitable for consumption, free from abnormal flavors, odors, and contaminants such as toxic seeds, filth, and extraneous matter. It also sets limits on moisture content and specifies packaging requirements to maintain the product's quality during storage and transport. Additionally, the document includes guidelines for labeling, ensuring that all maize products are accurately labeled with the necessary information, and provides methods for analysis and sampling to verify compliance with the standards. </t>
  </si>
  <si>
    <t>https://www.fao.org/fao-who-codexalimentarius/sh-proxy/en/?lnk=1&amp;url=https%253A%252F%252Fworkspace.fao.org%252Fsites%252Fcodex%252FStandards%252FCXS%2B153-1985%252FCXS_153e.pdf</t>
  </si>
  <si>
    <t>Standard for Maize - CXS 154-1985 (CODEX)</t>
  </si>
  <si>
    <t xml:space="preserve">Maize (Corn)   </t>
  </si>
  <si>
    <t>Standard for Whole Maize (Corn) Meal
These standards cover various aspects, including the quality and composition of the maize meal, such as moisture content, ash content, protein levels, and granularity. The standards ensure that the maize meal is safe, suitable for consumption, and free from contaminants like heavy metals, pesticide residues, and mycotoxins. The document also emphasizes hygiene practices during processing and packaging, ensuring the product is free from harmful microorganisms and properly packaged to preserve its quality. Additionally, it includes specific labeling requirements, ensuring that the product is accurately labeled as "whole maize (corn) meal," along with methods for analysis and sampling to verify compliance with these standards. These regulations aim to maintain the safety, quality, and proper labeling of whole maize meal in the market.</t>
  </si>
  <si>
    <t>https://www.fao.org/fao-who-codexalimentarius/sh-proxy/en/?lnk=1&amp;url=https%253A%252F%252Fworkspace.fao.org%252Fsites%252Fcodex%252FStandards%252FCXS%2B154-1985%252FCXS_154e.pdf</t>
  </si>
  <si>
    <t>Standard for Maize - CXS 155-1985 (CODEX)</t>
  </si>
  <si>
    <t>Standard for Degermed Maize (Corn) Meal and Maize (Corn) Grits
he document outlines the standards for degermed maize (corn) meal and maize (corn) grits intended for human consumption. These standards cover the quality and composition of the products, including requirements for moisture content, ash content, protein levels, and granularity. The standards ensure that the products are free from contaminants like heavy metals, pesticide residues, and mycotoxins, and emphasize the importance of hygiene during processing and packaging to prevent harmful microorganisms and other impurities. Packaging must safeguard the quality of the product, and specific labeling requirements are mandated to accurately identify the product and provide necessary consumer information. Additionally, the document provides guidelines for methods of analysis and sampling to verify compliance with these standards, ensuring the safety, quality, and proper labeling of degermed maize meal and grits in the marketplace.</t>
  </si>
  <si>
    <t>https://www.fao.org/fao-who-codexalimentarius/sh-proxy/en/?lnk=1&amp;url=https%253A%252F%252Fworkspace.fao.org%252Fsites%252Fcodex%252FStandards%252FCXS%2B155-1985%252FCXS_155e.pdf</t>
  </si>
  <si>
    <t>Standard for Millet - CXS 169-1989 (CODEX)</t>
  </si>
  <si>
    <t xml:space="preserve">Millet     </t>
  </si>
  <si>
    <t>Standard for Whole and Decorticated Pearl Millet Grains
These standards cover the quality and composition of pearl millet, including moisture content, protein levels, and the acceptable limits of extraneous matter. The grains must be safe and suitable for consumption, free from abnormal flavors, odors, and contaminants such as heavy metals, pesticide residues, and mycotoxins. The document also emphasizes hygiene during processing and packaging, ensuring the product is free from harmful microorganisms. Packaging must protect the millet's quality, and specific labeling requirements are mandated to accurately describe the product, including whether it is whole or decorticated. Additionally, the standards provide methods for analysis and sampling to verify compliance, ensuring the safety, quality, and proper labeling of pearl millet in the market.</t>
  </si>
  <si>
    <t>https://www.fao.org/fao-who-codexalimentarius/sh-proxy/en/?lnk=1&amp;url=https%253A%252F%252Fworkspace.fao.org%252Fsites%252Fcodex%252FStandards%252FCXS%2B169-1989%252FCXS_169e.pdf</t>
  </si>
  <si>
    <t>Standard for Millet Flour - CXS 170-1989 (CODEX)</t>
  </si>
  <si>
    <t xml:space="preserve">Millet Flour   </t>
  </si>
  <si>
    <t>Standard for Pearl Millet Flour
These standards specify the quality and composition requirements for pearl millet flour, including acceptable levels of moisture, ash, protein, fat, and crude fiber. The flour must be safe and suitable for consumption, free from abnormal flavors, odors, and harmful contaminants like heavy metals, pesticide residues, and mycotoxins.
The standards also cover hygiene practices during processing and packaging to ensure the product is free from microorganisms, parasites, and other harmful substances. Packaging must safeguard the quality of the flour, and labeling requirements ensure that the product is correctly identified as "pearl millet flour" with all necessary information provided.
Additionally, the document details methods for analysis and sampling to verify compliance with these standards, ensuring that pearl millet flour meets safety, quality, and labeling requirements for the market.</t>
  </si>
  <si>
    <t>https://www.fao.org/fao-who-codexalimentarius/sh-proxy/en/?lnk=1&amp;url=https%253A%252F%252Fworkspace.fao.org%252Fsites%252Fcodex%252FStandards%252FCXS%2B170-1989%252FCXS_170e.pdf</t>
  </si>
  <si>
    <t>Standard for Pulses - CXS 171-1989 (CODEX)</t>
  </si>
  <si>
    <t xml:space="preserve">Pulses    </t>
  </si>
  <si>
    <t>Standard for Certain Pulses
These standards focus on ensuring the quality and safety of pulses intended for direct human consumption. They specify acceptable levels for moisture content, control of extraneous matter, and limits on toxic or noxious seeds that could pose a health risk. The document also emphasizes the importance of hygiene during processing, packaging, and storage to prevent contamination and maintain the nutritional and organoleptic qualities of the pulses. Additionally, it includes labeling requirements to ensure that products are correctly identified, as well as methods for analysis and sampling to verify compliance with these standards.</t>
  </si>
  <si>
    <t>https://www.fao.org/fao-who-codexalimentarius/sh-proxy/en/?lnk=1&amp;url=https%253A%252F%252Fworkspace.fao.org%252Fsites%252Fcodex%252FStandards%252FCXS%2B171-1989%252FCXS_171e.pdf</t>
  </si>
  <si>
    <t>Standard for Sorghum Grains - CXS 172-1989 (CODEX)</t>
  </si>
  <si>
    <t xml:space="preserve">Sorghum Grains    </t>
  </si>
  <si>
    <t>Standard for Sorghum Grains
These standards apply to both whole and decorticated sorghum grains and cover various aspects to ensure safety and quality. The standards specify acceptable moisture content, limits on defects, and control of contaminants such as heavy metals, pesticide residues, and mycotoxins. Additionally, the document includes guidelines for hygiene practices during processing and packaging to prevent contamination and maintain the nutritional and organoleptic qualities of the sorghum grains. Packaging must protect the product's quality, and labeling requirements ensure accurate identification of the product. The standards also provide methods for analysis and sampling to verify compliance, ensuring that sorghum grains meet the necessary safety, quality, and labeling standards for the market.</t>
  </si>
  <si>
    <t>https://www.fao.org/fao-who-codexalimentarius/sh-proxy/en/?lnk=1&amp;url=https%253A%252F%252Fworkspace.fao.org%252Fsites%252Fcodex%252FStandards%252FCXS%2B172-1989%252FCXS_172e.pdf</t>
  </si>
  <si>
    <t>Standard for Sorghum Flour - CXS 173-1989 (CODEX)</t>
  </si>
  <si>
    <t xml:space="preserve">Sorghum Flour    </t>
  </si>
  <si>
    <t>Standard for Sorghum Flour
These standards specify the quality and composition requirements for sorghum flour, including acceptable levels of moisture, ash, protein, fat, and crude fiber. The flour must be safe, suitable for consumption, and free from abnormal flavors, odors, and harmful contaminants such as heavy metals, pesticide residues, and mycotoxins. The document also emphasizes proper hygiene during processing and packaging to prevent contamination and ensure the flour's nutritional and sensory qualities. Packaging must protect the flour's quality, and labeling requirements ensure accurate identification of the product. Additionally, the document details methods for analysis and sampling to verify compliance with these standards, ensuring the safety, quality, and proper labeling of sorghum flour in the market.</t>
  </si>
  <si>
    <t>https://www.fao.org/fao-who-codexalimentarius/sh-proxy/en/?lnk=1&amp;url=https%253A%252F%252Fworkspace.fao.org%252Fsites%252Fcodex%252FStandards%252FCXS%2B173-1989%252FCXS_173e.pdf</t>
  </si>
  <si>
    <t>Standard for Durum Wheat Semolina and Flour - CXS 178-1991 (CODEX)</t>
  </si>
  <si>
    <t xml:space="preserve">Durum Wheat Semolina and Flour </t>
  </si>
  <si>
    <t>Standard for Durum Wheat Semolina and Durum Wheat Flour
These standards apply to products derived from durum wheat (Triticum durum Desf.), specifying the quality and composition requirements, such as moisture content, ash content, and protein levels. The standards ensure that the semolina and flour are safe for consumption, free from abnormal flavors, odors, and contaminants, including heavy metals, pesticide residues, and mycotoxins.
The document also emphasizes hygiene practices during processing and packaging to prevent contamination and maintain the nutritional and sensory qualities of the products. Packaging must safeguard the product's quality, and specific labeling requirements are mandated to ensure accurate identification, including the product name and the manufacturer's details. Additionally, the document provides methods for analysis and sampling to verify compliance with these standards, ensuring the safety, quality, and proper labeling of durum wheat semolina and flour in the market.</t>
  </si>
  <si>
    <t>https://www.fao.org/fao-who-codexalimentarius/sh-proxy/en/?lnk=1&amp;url=https%253A%252F%252Fworkspace.fao.org%252Fsites%252Fcodex%252FStandards%252FCXS%2B178-1991%252FCXS_178e.pdf</t>
  </si>
  <si>
    <t>Standard for Rice - CXS 198-1995 (CODEX)</t>
  </si>
  <si>
    <t xml:space="preserve">Rice     </t>
  </si>
  <si>
    <t>Standard for Rice
These standards cover various aspects of rice quality, including acceptable levels of moisture content, extraneous matter, and contaminants such as heavy metals and pesticide residues. The standards ensure that rice is safe for consumption, free from abnormal flavors, odors, and harmful microorganisms.
The document also specifies the classifications of rice based on grain length (long grain, medium grain, and short grain) and the degree of milling (such as well-milled and extra-well-milled). Additionally, it includes guidelines for proper packaging to protect the hygienic and nutritional quality of the rice, as well as labeling requirements to ensure accurate consumer information. Methods for analysis and sampling are also provided to verify compliance with these standards, ensuring the safety, quality, and proper labeling of rice in the marketplace.</t>
  </si>
  <si>
    <t>https://www.fao.org/fao-who-codexalimentarius/sh-proxy/en/?lnk=1&amp;url=https%253A%252F%252Fworkspace.fao.org%252Fsites%252Fcodex%252FStandards%252FCXS%2B198-1995%252FCXS_198e.pdf</t>
  </si>
  <si>
    <t>Standard for Wheat and Durum Wheat - CXS 199-1995 (CODEX)</t>
  </si>
  <si>
    <t xml:space="preserve">Wheat and Durum Wheat  </t>
  </si>
  <si>
    <t>Standard for Wheat and Durum Wheat
These standards cover the quality and safety requirements for both types of wheat grains, ensuring they are suitable for processing into food products. Key aspects include limits on moisture content, control of contaminants such as ergot, toxic seeds, and filth, as well as the acceptable levels of extraneous matter. The standards also mandate that the grains must be free from abnormal flavors, odors, and live insects.
Additionally, the document provides guidelines for packaging and labeling, ensuring that the product is protected during storage and transport and that consumers are accurately informed about the product. The methods of analysis and sampling are specified to verify compliance with these standards, ensuring that wheat and durum wheat meet the necessary safety, quality, and labeling requirements for international trade and consumption.</t>
  </si>
  <si>
    <t>https://www.fao.org/fao-who-codexalimentarius/sh-proxy/en/?lnk=1&amp;url=https%253A%252F%252Fworkspace.fao.org%252Fsites%252Fcodex%252FStandards%252FCXS%2B199-1995%252FCXS_199e.pdf</t>
  </si>
  <si>
    <t>Standard for Oats - CXS 201-1995 (CODEX)</t>
  </si>
  <si>
    <t xml:space="preserve">Oats     </t>
  </si>
  <si>
    <t>Standard for Oats
These standards cover the quality and safety requirements for oat grains, including both Avena sativa and Avena byzantina species. Key aspects include limits on moisture content, the presence of ergot, toxic or noxious seeds, and filth, ensuring that the oats are safe and suitable for processing. The standards also address hygiene practices during processing, packaging requirements to maintain the product's quality, and specific labeling guidelines to ensure accurate consumer information. Additionally, methods for analysis and sampling are provided to verify compliance with these standards, ensuring that oats meet the necessary quality and safety criteria for the market.</t>
  </si>
  <si>
    <t>https://www.fao.org/fao-who-codexalimentarius/sh-proxy/en/?lnk=1&amp;url=https%253A%252F%252Fworkspace.fao.org%252Fsites%252Fcodex%252FStandards%252FCXS%2B201-1995%252FCXS_201e.pdf</t>
  </si>
  <si>
    <t>Standard for Quinoa - CXS 333-2019 (CODEX)</t>
  </si>
  <si>
    <t xml:space="preserve">Quinoa     </t>
  </si>
  <si>
    <t xml:space="preserve">Standard for Quinoa
These standards specify the quality and safety requirements for processed quinoa, including the acceptable moisture content, limits on extraneous matter, and the allowable percentage of defective grains such as broken, damaged, or germinated grains. The standards also set a minimum protein content and a maximum saponin content to ensure nutritional quality.
Additionally, the document prohibits the use of food additives in quinoa and establishes guidelines for contaminants and pesticide residues, ensuring that the product is safe for consumption. It emphasizes the importance of hygiene during processing and packaging to prevent contamination and maintain the product's quality. The packaging must protect the quinoa's hygienic, nutritional, and organoleptic properties, and labeling requirements ensure that consumers receive accurate information about the product. </t>
  </si>
  <si>
    <t>https://www.fao.org/fao-who-codexalimentarius/sh-proxy/en/?lnk=1&amp;url=https%253A%252F%252Fworkspace.fao.org%252Fsites%252Fcodex%252FStandards%252FCXS%2B333-2019%252FCXS_333e.pdf</t>
  </si>
  <si>
    <t>Standard for Salted Fish and Dried Salted Fish of the Gadidae Family of Fishes - CXS 167-1989 (CODEX)</t>
  </si>
  <si>
    <t xml:space="preserve">Fish     </t>
  </si>
  <si>
    <t>Standard for Salted Fish and Dried Salted Fish of the Gadidae Family of Fishes
These standards cover various aspects, including the process of salting (through dry salting, wet salting, or brine injection) and drying (either naturally or artificially). The standards specify the essential composition and quality factors, such as the type of fish and the quality of salt used, and set criteria for the final product, including limits on moisture and salt content. Additionally, the document details requirements for labeling, food additives, hygiene practices, and methods for sampling and examination. The standards ensure that salted and dried salted fish meet the necessary quality, safety, and labeling requirements for international trade.</t>
  </si>
  <si>
    <t>https://www.fao.org/fao-who-codexalimentarius/sh-proxy/en/?lnk=1&amp;url=https%253A%252F%252Fworkspace.fao.org%252Fsites%252Fcodex%252FStandards%252FCXS%2B167-1989%252FCXS_167e.pdf</t>
  </si>
  <si>
    <t>Standard for boiled, dried, salted Anchovies - CXS 236-2003 (CODEX)</t>
  </si>
  <si>
    <t xml:space="preserve">Boiled Dried Salted Anchovies  </t>
  </si>
  <si>
    <t>A, B, C, D, E, F, M</t>
  </si>
  <si>
    <t>Standard for Boiled Dried Salted Anchovies
These standards include specific requirements for the preparation, processing, and packaging of anchovies belonging to the family Engraulidae. The standards ensure that the fish are properly washed, salted, boiled, and dried, with strict guidelines on handling practices to maintain quality and prevent spoilage. The standards also include criteria for the final product, such as limits on sodium chloride content, water activity, and histamine levels. Additionally, it sets requirements for packaging, labeling, and sensory evaluation, ensuring that the product is free from defects like breakage, foreign matter, or undesirable odors and flavors. These standards are designed to ensure the safety, quality, and consistency of boiled dried salted anchovies in international trade.</t>
  </si>
  <si>
    <t>https://www.fao.org/fao-who-codexalimentarius/sh-proxy/en/?lnk=1&amp;url=https%253A%252F%252Fworkspace.fao.org%252Fsites%252Fcodex%252FStandards%252FCXS%2B236-2003%252FCXS_236e.pdf</t>
  </si>
  <si>
    <t>Standard for Atlantic Herring and Sprat - CXS 244-2004 (CODEX)</t>
  </si>
  <si>
    <t xml:space="preserve">Atlantic Herring and Sprat </t>
  </si>
  <si>
    <t>Standard for Salted Atlantic Herring and Salted Sprat
This standard applies to fish such as cod, haddock, and pollock that have been preserved by salting and drying. It specifies the quality requirements for these products, including guidelines for processing, handling, and storage to ensure safety and quality. The standard outlines limits for moisture content, salt content, and other chemical properties, as well as requirements for packaging, labeling, and the prevention of defects such as discoloration or spoilage. This ensures that salted and dried salted fish meet international trade standards for safety and quality.</t>
  </si>
  <si>
    <t>https://www.fao.org/fao-who-codexalimentarius/sh-proxy/en/?lnk=1&amp;url=https%253A%252F%252Fworkspace.fao.org%252Fsites%252Fcodex%252FStandards%252FCXS%2B244-2004%252FCXS_244e.pdf</t>
  </si>
  <si>
    <t>Standard for Smoked Fish, Smoke-Flavoured Fish, and Smoke-Dried Fish - CXS 311-2013 (CODEX)</t>
  </si>
  <si>
    <t xml:space="preserve">Fish    </t>
  </si>
  <si>
    <t>Standard for Smoked Fish, Smoke-Flavoured Fish and Smoke-Dried Fish
These standards apply to products prepared from fresh, chilled, or frozen fish that undergo processes like smoking, the addition of smoke flavors, or a combination of smoking and drying. The standards specify requirements for product composition, processing methods (including hot and cold smoking, smoke flavoring, and drying), and packaging. They also include guidelines for controlling contaminants, such as polycyclic aromatic hydrocarbons (PAHs) and histamine levels, and emphasize the importance of proper hygiene and handling practices to ensure product safety. Additionally, the standards cover labeling requirements to ensure accurate consumer information, including the name of the product and storage instructions. These regulations are designed to ensure the safety, quality, and consistency of smoked, smoke-flavoured, and smoke-dried fish products in international trade.</t>
  </si>
  <si>
    <t>https://www.fao.org/fao-who-codexalimentarius/sh-proxy/en/?lnk=1&amp;url=https%253A%252F%252Fworkspace.fao.org%252Fsites%252Fcodex%252FStandards%252FCXS%2B311-2013%252FCXS_311e.pdf</t>
  </si>
  <si>
    <t>General Standard for the Labelling of Pre-packaged Foods - CXS 1-1985 (CODEX)</t>
  </si>
  <si>
    <t> </t>
  </si>
  <si>
    <t>A, D</t>
  </si>
  <si>
    <t>General Standard for the Labelling of Pre-packaged Foods
This standard applies to all pre-packaged foods offered to consumers or for catering purposes and focuses on ensuring accurate and non-deceptive labeling. Key aspects include mandatory labeling requirements such as the name of the food, a list of ingredients, net contents, country of origin, lot identification, and date marking. The standard also addresses the labeling of allergens, food additives, and irradiated foods. It mandates that all labeling information be clear, prominent, and legible, ensuring that consumers are well-informed about the products they purchase. Additionally, the document includes guidelines for optional labeling, exemptions, and the proper presentation of mandatory information, emphasizing the importance of transparency and consumer protection in food labeling.</t>
  </si>
  <si>
    <t>https://www.fao.org/fao-who-codexalimentarius/sh-proxy/en/?lnk=1&amp;url=https%253A%252F%252Fworkspace.fao.org%252Fsites%252Fcodex%252FStandards%252FCXS%2B1-1985%252FCXS_001e.pdf</t>
  </si>
  <si>
    <t>General Standard for Irradiated Foods - CXS 106-1983 (CODEX)</t>
  </si>
  <si>
    <t>General Standard for Irradiated Foods
This standard applies to foods processed by ionizing radiation to ensure safety, extend shelf life, or achieve specific technological purposes. It specifies the types of radiation that can be used, including gamma rays, X-rays, and electron beams, and sets limits on the absorbed dose to ensure consumer safety without compromising the food's quality or nutritional value. The standard also mandates that facilities processing irradiated foods must be licensed, follow good hygienic practices, and keep detailed records of the irradiation process.
Additionally, the standard emphasizes that irradiation should not replace proper food hygiene and manufacturing practices. It prohibits re-irradiation of foods, except under specific circumstances such as controlling insect infestation in dry foods like cereals and pulses. The standard also includes guidelines for post-irradiation verification, labeling requirements to inform consumers about the treatment, and inventory control to trace irradiated foods throughout the supply chain. This standard ensures that irradiated foods meet safety, quality, and labeling requirements for consumer protection.</t>
  </si>
  <si>
    <t>https://www.fao.org/fao-who-codexalimentarius/sh-proxy/en/?lnk=1&amp;url=https%253A%252F%252Fworkspace.fao.org%252Fsites%252Fcodex%252FStandards%252FCXS%2B106-1983%252FCXS_106e.pdf</t>
  </si>
  <si>
    <t>General Standard for the Labelling of Food Additives - CXS 107-1981 (CODEX)</t>
  </si>
  <si>
    <t>General Standard for the Labelling of Food Additives when sold as such
This standard applies to the labeling of food additives sold either by retail or non-retail, including those intended for food processing or catering. The standard covers key aspects such as the mandatory labeling of food additives, which includes the specific name of the additive, instructions for use, net contents, and the name and address of the manufacturer or distributor. It also requires the declaration of the country of origin and lot identification to ensure traceability.
The standard emphasizes the importance of clear, prominent, and legible labeling, ensuring that the information is accessible to consumers and users. It also allows for additional or different labeling requirements if justified by the nature of the specific food additive. Furthermore, the standard mandates that food additives treated with ionizing radiation be clearly designated as such. These requirements aim to provide transparency, prevent deception, and ensure that consumers and users are well-informed about the food additives they purchase or use.</t>
  </si>
  <si>
    <t>https://www.fao.org/fao-who-codexalimentarius/sh-proxy/en/?lnk=1&amp;url=https%253A%252F%252Fworkspace.fao.org%252Fsites%252Fcodex%252FStandards%252FCXS%2B107-1981%252FCXS_107e.pdf</t>
  </si>
  <si>
    <t>General Standard for the Labelling and Claims for Pre-packaged Foods for Special Dietary Uses - CXS 146-1985 (CODEX)</t>
  </si>
  <si>
    <t>General Standard for the Labelling of and Claims for Pre-packaged Foods for Special Dietary Uses
This standard applies to the labeling and claims made for all pre-packaged foods that are specially processed or formulated to meet specific dietary requirements due to particular physical or physiological conditions, diseases, or disorders. These foods must differ significantly in composition from ordinary foods of a similar nature.
The standard specifies mandatory labeling requirements, including the name of the food, list of ingredients, nutrition labeling, net contents, country of origin, and storage instructions. It also covers specific provisions for foods labeled as "special dietary" or "special dietetic," ensuring that such labels are not misleading and accurately reflect the food's characteristics.
Additional requirements include the quantitative labeling of ingredients and the regulation of claims regarding the suitability of these foods for specific dietary uses, including restrictions on health claims related to disease prevention or treatment. The standard also mandates that irradiated foods for special dietary uses must be labeled accordingly. These regulations ensure that pre-packaged foods for special dietary uses are accurately labeled, providing consumers with clear and truthful information.</t>
  </si>
  <si>
    <t>https://www.fao.org/fao-who-codexalimentarius/sh-proxy/en/?lnk=1&amp;url=https%253A%252F%252Fworkspace.fao.org%252Fsites%252Fcodex%252FStandards%252FCXS%2B146-1985%252FCXS_146e.pdf</t>
  </si>
  <si>
    <t>Standard for Preserved Tomatoes - CXS 13-1981 (CODEX)</t>
  </si>
  <si>
    <t xml:space="preserve">Tomatoes    </t>
  </si>
  <si>
    <t>Standard for Preserved Tomatoes
This standard applies to preserved tomato products intended for direct consumption, including those used in catering or repacking. It defines preserved tomatoes as products made from fresh, ripe tomatoes that have been washed, had their stems and calices removed, and been processed by heat to prevent spoilage. The standard specifies the acceptable types of tomatoes, including whole and unwhole forms, and the packing media, such as tomato juice or puree.
The standard covers essential composition and quality factors, including the requirements for basic ingredients, permissible additives, and the quality criteria that preserved tomatoes must meet, such as color, flavour, and the absence of defects like peel and blemishes. It also includes guidelines for the use of food additives, contaminants, and hygiene practices to ensure the product's safety and quality.
Labeling requirements are detailed to ensure accurate consumer information, including the product name, the style of tomatoes, and the packing medium used. Additionally, the standard specifies methods of analysis and sampling to verify compliance with these criteria, ensuring that preserved tomatoes meet international standards for safety, quality, and labeling.</t>
  </si>
  <si>
    <t>https://www.fao.org/fao-who-codexalimentarius/sh-proxy/en/?lnk=1&amp;url=https%253A%252F%252Fworkspace.fao.org%252Fsites%252Fcodex%252FStandards%252FCXS%2B13-1981%252FCXS_013e.pdf</t>
  </si>
  <si>
    <t>Standard for Canned Raspberries - CXS 60-1981 (CODEX)</t>
  </si>
  <si>
    <t xml:space="preserve">Raspberries    </t>
  </si>
  <si>
    <t>Standard for Canned Raspberries
This standard specifies the quality, composition, and safety requirements for canned raspberries intended for direct consumption. It defines canned raspberries as a product made from ripe raspberries, processed by heat and packed in a suitable liquid medium such as water, fruit juice, or syrup. The standard covers essential quality factors, including acceptable packing media, color, flavour, and texture of the raspberries, as well as limits on defects like blemishes, crushed berries, and extraneous plant material.
The document also details permissible food additives, such as certain colors, and sets maximum limits for contaminants like lead and tin. Hygiene practices are emphasized to ensure the product is free from harmful microorganisms and parasites. The standard includes specific requirements for weights and measures, including minimum fill and drained weight of the product, and outlines detailed labeling requirements to ensure accurate information is provided to consumers. Finally, it provides methods for analysis and sampling to verify compliance with these standards, ensuring the canned raspberries meet international safety, quality, and labeling criteria.</t>
  </si>
  <si>
    <t>https://www.fao.org/fao-who-codexalimentarius/sh-proxy/en/?lnk=1&amp;url=https%253A%252F%252Fworkspace.fao.org%252Fsites%252Fcodex%252FStandards%252FCXS%2B60-1981%252FCXS_060e.pdf</t>
  </si>
  <si>
    <t>Standard for Canned Strawberries - CXS 62-1981 (CODEX)</t>
  </si>
  <si>
    <t xml:space="preserve">Strawberries    </t>
  </si>
  <si>
    <t>Standard for Canned Strawberries
This standard specifies the quality, composition, and safety requirements for canned strawberries intended for direct consumption. The strawberries must be prepared from varieties of the Genus Fragaria, ensuring they are whole, clean, and of proper maturity, with all extraneous matter removed. The strawberries are packed in a suitable liquid medium, such as water, fruit juice, or syrup, and processed by heat to prevent spoilage.
The standard includes essential composition and quality factors, such as the classification of packing media, color, flavour, and texture requirements, and limits on defects like blemished or broken berries. It also outlines permissible food additives, including acidifying agents and firming agents, and sets maximum levels for contaminants like lead and tin.
The document emphasizes proper hygiene practices during processing to ensure the product is free from harmful microorganisms and parasites. It also includes detailed labeling requirements, ensuring that the packing medium and other relevant information are clearly stated on the label. The standard provides methods for analysis and sampling to verify compliance, ensuring that canned strawberries meet international safety, quality, and labeling standards for market distribution.</t>
  </si>
  <si>
    <t>https://www.fao.org/fao-who-codexalimentarius/sh-proxy/en/?lnk=1&amp;url=https%253A%252F%252Fworkspace.fao.org%252Fsites%252Fcodex%252FStandards%252FCXS%2B62-1981%252FCXS_062e.pdf</t>
  </si>
  <si>
    <t>Standard for Canned Fruit Cocktail - CXS 78-1981 (CODEX)</t>
  </si>
  <si>
    <t xml:space="preserve">Fruits    </t>
  </si>
  <si>
    <t>Standard for Canned Fruit Cocktail
This standard specifies the quality, composition, and safety requirements for canned fruit cocktails intended for direct consumption. It defines canned fruit cocktail as a product made from a mixture of small fruits and small pieces of fruits, including peaches, pears, pineapples, grapes, and cherries. These fruits can be fresh, frozen, or canned before being mixed and packed in a suitable liquid medium such as water, fruit juice, or syrup.
The standard covers essential composition and quality factors, including the required proportions of each type of fruit in the cocktail, acceptable packing media, and the physical characteristics of the fruit pieces, such as size and shape. It also details permissible food additives, including specific colors and flavors, and sets maximum levels for contaminants like lead and tin.
Hygiene practices are emphasized to ensure the product is free from harmful microorganisms and other safety concerns. The standard includes specific requirements for weights and measures, such as minimum fill and drained weight, and provides detailed labeling requirements to ensure accurate information is provided to consumers. Finally, it outlines methods for analysis and sampling to verify compliance with these standards, ensuring that canned fruit cocktails meet international safety, quality, and labeling criteria for market distribution.</t>
  </si>
  <si>
    <t>https://www.fao.org/fao-who-codexalimentarius/sh-proxy/en/?lnk=1&amp;url=https%253A%252F%252Fworkspace.fao.org%252Fsites%252Fcodex%252FStandards%252FCXS%2B78-1981%252FCXS_078e.pdf</t>
  </si>
  <si>
    <t>Standard for Fruit Salad - CXS 99-1981 (CODEX)</t>
  </si>
  <si>
    <t xml:space="preserve">Fruit Salad  </t>
  </si>
  <si>
    <t>Standard for Canned Tropical Fruit Salad
This standard specifies the quality, composition, and safety requirements for canned tropical fruit salad, which is made from a mixture of basic and optional tropical fruits. The basic fruits include pineapple, papaya, mango, and banana, while optional fruits may include litchi, guava, melon, and others. These fruits may be fresh, frozen, or canned, and are packed in a suitable liquid medium such as water, fruit juice, or syrup.
The standard details the proportions of each fruit type in the mixture, ensuring a balanced composition, and defines the acceptable quality factors, including color, flavour, and texture. It also sets limits on defects such as blemishes, peel, seeds, and extraneous matter.
Food additives, including coloring agents for cherries, flavourings, and antioxidants, are permitted within specified limits. The document also outlines the maximum levels for contaminants like tin and lead, emphasizing the importance of hygiene practices during processing to ensure the product is free from harmful microorganisms.
Labeling requirements are detailed, ensuring that consumers are informed about the contents, including the type of packing medium used and any added sugars. The standard also includes methods for analysis and sampling to verify compliance with these requirements, ensuring that canned tropical fruit salad meets international standards for safety, quality, and labeling.</t>
  </si>
  <si>
    <t>https://www.fao.org/fao-who-codexalimentarius/sh-proxy/en/?lnk=1&amp;url=https%253A%252F%252Fworkspace.fao.org%252Fsites%252Fcodex%252FStandards%252FCXS%2B99-1981%252FCXS_099e.pdf</t>
  </si>
  <si>
    <t>Standard for Pickled Cucumbers - CXS 115-1981 (CODEX)</t>
  </si>
  <si>
    <t xml:space="preserve">Cucumbers (Cucumber Pickles)  </t>
  </si>
  <si>
    <t>Standard for Pickled Cucumbers (Cucumber Pickles)
Applies to pickled cucumbers intended for direct consumption, which are prepared from clean, sound cucumbers of the species Cucumis sativus L. The cucumbers can be processed fresh or cured in a brine solution, with or without natural or controlled fermentation, and preserved by acidulation, pasteurization, refrigeration, or the use of chemical preservatives.
The standard covers essential composition and quality factors, including the types of pickled cucumbers (e.g., dill, sour, sweet, mustard), permissible ingredients (such as vinegar, salt, spices, and condiments), and quality criteria like color, texture, and flavour. It sets limits on defects, such as misshapen or blemished cucumbers, and specifies the uniformity of size and shape within each container.
The standard includes guidelines for food additives, such as firming agents and preservatives, and sets maximum levels for contaminants like tin and lead. Hygiene practices are emphasized to ensure the product is free from harmful microorganisms, parasites, and other safety concerns.
Labeling requirements are detailed to ensure accurate consumer information, including the type and style of pickled cucumbers, the packing medium, and any characterizing flavourings. The document also outlines methods for analysis and sampling to verify compliance with these standards, ensuring that pickled cucumbers meet the necessary safety, quality, and labeling criteria for market distribution.</t>
  </si>
  <si>
    <t>https://www.fao.org/fao-who-codexalimentarius/sh-proxy/en/?lnk=1&amp;url=https%253A%252F%252Fworkspace.fao.org%252Fsites%252Fcodex%252FStandards%252FCXS%2B115-1981%252FCXS_115e.pdf</t>
  </si>
  <si>
    <t>Standard for Canned Stone Fruits - CXS 242-2003 (CODEX)</t>
  </si>
  <si>
    <t xml:space="preserve">Canned Stone Fruits   </t>
  </si>
  <si>
    <t>Standard for Canned Stone Fruits
This standard applies to canned stone fruits from the genus Prunus, including apricots, peaches, plums, and cherries, intended for direct consumption, catering purposes, or repacking. The standard specifies the essential composition and quality factors, such as the types of fruits allowed, the acceptable packing media, and the physical characteristics like color, flavour, and texture that the canned fruits must possess.
The document details the permissible food additives, including acidifying agents and antioxidants, and sets limits on contaminants like lead and tin. It also emphasizes hygiene practices to ensure the products are free from harmful microorganisms and adhere to international food safety standards.
Labeling requirements are outlined to ensure accurate consumer information, including the fruit variety, style (e.g., whole, halves, slices), and whether the fruits are peeled or unpeeled. The standard also includes methods of analysis and sampling to verify compliance with these criteria, ensuring that canned stone fruits meet the necessary safety, quality, and labeling standards for market distribution.</t>
  </si>
  <si>
    <t>https://www.fao.org/fao-who-codexalimentarius/sh-proxy/en/?lnk=1&amp;url=https%253A%252F%252Fworkspace.fao.org%252Fsites%252Fcodex%252FStandards%252FCXS%2B242-2003%252FCXS_242e.pdf</t>
  </si>
  <si>
    <t>Standard for Certain Canned Citrus Fruits - CXS 254-2007 (CODEX)</t>
  </si>
  <si>
    <t>Standard for Certain Canned Citrus Fruits
This standard applies to canned citrus fruits, including grapefruit, mandarin oranges, sweet oranges, and pummelos, intended for direct consumption, catering, or repacking. It specifies the essential composition and quality factors, including the types of citrus fruits allowed, the packing media, and the physical characteristics such as color, flavour, and texture.
The standard details the permissible food additives, such as acidity regulators and firming agents, and sets maximum limits for contaminants like lead and tin. It also emphasizes the importance of hygiene practices during processing to ensure the products are free from harmful microorganisms and meet international food safety standards.
Labeling requirements are outlined to ensure accurate consumer information, including the name of the citrus fruit, the style (e.g., whole segments), and the packing medium used. The standard also includes methods of analysis and sampling to verify compliance with these criteria, ensuring that canned citrus fruits meet the necessary safety, quality, and labeling standards for market distribution.</t>
  </si>
  <si>
    <t>https://www.fao.org/fao-who-codexalimentarius/sh-proxy/en/?lnk=1&amp;url=https%253A%252F%252Fworkspace.fao.org%252Fsites%252Fcodex%252FStandards%252FCXS%2B254-2007%252FCXS_254e.pdf</t>
  </si>
  <si>
    <t>Standard for Pickled Fruits and Vegetables - CXS 260-2007 (CODEX)</t>
  </si>
  <si>
    <t xml:space="preserve">Fruits and Vegetables  </t>
  </si>
  <si>
    <t>Standard for Pickled Fruits and Vegetables
Applies to various pickled products intended for direct consumption, including fruits and vegetables such as onions, garlic, mango, radish, ginger, beetroot, and others. It specifies the essential composition and quality factors, ensuring that the products are made from sound, clean, and edible fruits and vegetables that are processed or treated to produce an acidified product preserved through natural fermentation or by adding acidulants.
It details the types of packing media that can be used, such as oil, brine, or vinegar, and includes guidelines for the permissible ingredients, including spices, sweeteners, and other flavoring agents. It also sets criteria for product quality, such as color, flavour, and texture, and outlines the acceptable levels of defects like blemishes or extraneous material.
Food additives are regulated according to the General Standard for Food Additives, and the standard also mandates compliance with maximum levels of contaminants and pesticide residues. Proper hygiene practices are emphasized to ensure the safety of the products, and specific requirements for weights, measures, and labeling are provided to ensure that the products meet international standards for quality and consumer information.
The standard also includes methods of analysis and sampling to verify compliance, ensuring that pickled fruits and vegetables meet the necessary safety, quality, and labeling criteria for market distribution.</t>
  </si>
  <si>
    <t>https://www.fao.org/fao-who-codexalimentarius/sh-proxy/en/?lnk=1&amp;url=https%253A%252F%252Fworkspace.fao.org%252Fsites%252Fcodex%252FStandards%252FCXS%2B260-2007%252FCXS_260e.pdf</t>
  </si>
  <si>
    <t>Standard for Certain Canned Vegetables - CXS 297-2009 (CODEX)</t>
  </si>
  <si>
    <t xml:space="preserve">Vegetables   </t>
  </si>
  <si>
    <t>Standard for Certain Canned Vegetables
The standards apply to various canned vegetables, including asparagus, carrots, green beans, wax beans, green peas, hearts of palm (palmito), mature processed peas, sweet corn, baby corn, and certain mushrooms. The document outlines the essential criteria for these vegetables to ensure safety, quality, and accurate labeling for consumer protection and international trade. Each vegetable has specific requirements detailed in individual annexes that address aspects such as product definition, presentation styles, defects, and allowances. The standards also include guidelines for the use of additives, acceptable contaminants, and proper hygiene practices during processing and packaging. Additionally, the document provides methods for analysis and sampling to verify compliance with these standards.</t>
  </si>
  <si>
    <t>https://www.fao.org/fao-who-codexalimentarius/sh-proxy/en/?lnk=1&amp;url=https%253A%252F%252Fworkspace.fao.org%252Fsites%252Fcodex%252FStandards%252FCXS%2B297-2009%252FCXS_297e.pdf</t>
  </si>
  <si>
    <t>Standard for Certain Canned Fruits - CXS 319-2015 (CODEX)</t>
  </si>
  <si>
    <t xml:space="preserve">Fruits   </t>
  </si>
  <si>
    <t>Standard for Certain Canned Fruits
These standards outline essential composition and quality factors, such as the types of fruits used, their preparation (peeling, coring, etc.), and acceptable styles (e.g., slices, chunks). It also details the requirements for the packing medium, color, flavour, texture, and size uniformity of the fruits. Additionally, the document addresses food additives, contaminants, hygiene practices, and labeling requirements, ensuring that canned fruits meet the necessary safety and quality standards for market distribution. It provides specific methods for analysis and sampling to verify compliance with these standards.</t>
  </si>
  <si>
    <t>https://www.fao.org/fao-who-codexalimentarius/sh-proxy/en/?lnk=1&amp;url=https%253A%252F%252Fworkspace.fao.org%252Fsites%252Fcodex%252FStandards%252FCXS%2B319-2015%252FCXS_319e.pdf</t>
  </si>
  <si>
    <t>Standard for Luncheon Meat - CXS 89-1981 (CODEX)</t>
  </si>
  <si>
    <t xml:space="preserve">Luncheon Meat    </t>
  </si>
  <si>
    <t xml:space="preserve">Standard for Luncheon Meat
These standards apply to products made from comminuted (finely chopped) meat, which can include both bovine (beef) and poultry meat, or a combination of these. The standards specify the essential composition, including the minimum meat content, allowable fat content, and the use of curing ingredients like food-grade salt and sodium or potassium nitrite. Additionally, the document provides guidelines for the use of food additives, the control of contaminants, and strict hygiene practices during processing. Labeling requirements are also detailed, ensuring that the product is correctly labeled with the type of meat used, and any presence of binders or offal is clearly indicated. </t>
  </si>
  <si>
    <t>https://www.fao.org/fao-who-codexalimentarius/sh-proxy/en/?lnk=1&amp;url=https%253A%252F%252Fworkspace.fao.org%252Fsites%252Fcodex%252FStandards%252FCXS%2B89-1981%252FCXS_089e.pdf</t>
  </si>
  <si>
    <t>Standard for Salmon - CXS 3-1981 (CODEX)</t>
  </si>
  <si>
    <t xml:space="preserve">Salmon    </t>
  </si>
  <si>
    <t>Standard for Canned Salmon
These standards cover various aspects, including the definition of the product, which must be prepared from specific species of salmon and packed in hermetically sealed containers to ensure commercial sterility. It specifies the acceptable ingredients, prohibits the use of food additives, and mandates strict hygiene practices during processing. The standards also detail requirements for labeling, including the name of the food, the packing medium, and the presentation. Additionally, the document provides guidelines for sampling, sensory evaluation, and physical examination, ensuring that canned salmon products meet quality and safety criteria, including checks for foreign matter, odour, flavour, texture, and discolouration. The standards are designed to ensure that canned salmon products are safe, high-quality, and accurately labeled for consumer protection.</t>
  </si>
  <si>
    <t>https://www.fao.org/fao-who-codexalimentarius/sh-proxy/en/?lnk=1&amp;url=https%253A%252F%252Fworkspace.fao.org%252Fsites%252Fcodex%252FStandards%252FCXS%2B3-1981%252FCXS_003e.pdf</t>
  </si>
  <si>
    <t>Standard for Tuna and Bonito - CXS 70-1981</t>
  </si>
  <si>
    <t xml:space="preserve">Tuna and Bonito  </t>
  </si>
  <si>
    <t>Standard for Canned Tuna and Bonito
These standards cover the preparation, processing, and packaging of canned tuna and bonito, ensuring that the products are made from specific species of fish and packed in hermetically sealed containers to guarantee commercial sterility. The standards specify requirements for product composition, including the quality of raw materials and permissible ingredients. They also set limits on histamine levels to prevent decomposition and ensure safety. The document provides guidelines for labeling, including the proper naming and presentation of the product, as well as detailed procedures for sampling, sensory evaluation, and physical examination to ensure that the final product meets quality and safety standards.</t>
  </si>
  <si>
    <t>https://www.fao.org/fao-who-codexalimentarius/sh-proxy/en/?lnk=1&amp;url=https%253A%252F%252Fworkspace.fao.org%252Fsites%252Fcodex%252FStandards%252FCXS%2B70-1981%252FCXS_070e.pdf</t>
  </si>
  <si>
    <t>Standard for Sardines - CXS 94-1981 (CODEX)</t>
  </si>
  <si>
    <t xml:space="preserve">Sardines    </t>
  </si>
  <si>
    <t>Standard for Canned Sardines and Sardine-Type Products
These standards apply to products made from specific species of fish, such as sardines, that are packed in hermetically sealed containers with a suitable packing medium like water or oil. The standards specify the quality and safety requirements for the raw materials, including the removal of heads and gills, and ensure that the final product is free from decomposition, foreign matter, and excessive histamine levels. The document also includes guidelines for the use of food additives, hygiene practices during processing, and detailed labeling requirements to accurately describe the product. Additionally, the standards provide procedures for sampling, physical examination, and sensory evaluation to ensure that the canned sardines meet the necessary quality criteria before being marketed.</t>
  </si>
  <si>
    <t>https://www.fao.org/fao-who-codexalimentarius/sh-proxy/en/?lnk=1&amp;url=https%253A%252F%252Fworkspace.fao.org%252Fsites%252Fcodex%252FStandards%252FCXS%2B94-1981%252FCXS_094e.pdf</t>
  </si>
  <si>
    <t>Standard for Canned Finfish - CXS 119-1981 (CODEX)</t>
  </si>
  <si>
    <t xml:space="preserve">Finfish    </t>
  </si>
  <si>
    <t>Standard for Canned Finfish
These standards apply to finfish packed in water, oil, or other suitable packing mediums, ensuring they are safe for human consumption. The standards cover the quality of the raw fish, which must be free from heads, tails, and viscera, and the processing method, which involves hermetically sealing the fish in containers to ensure commercial sterility. It also includes guidelines for acceptable levels of histamine, labeling requirements, and the use of food additives. The document emphasizes hygiene practices during processing and provides methods for sampling, physical examination, and sensory evaluation to ensure the final product meets the necessary quality and safety standards.</t>
  </si>
  <si>
    <t>https://www.fao.org/fao-who-codexalimentarius/sh-proxy/en/?lnk=1&amp;url=https%253A%252F%252Fworkspace.fao.org%252Fsites%252Fcodex%252FStandards%252FCXS%2B119-1981%252FCXS_119e.pdf</t>
  </si>
  <si>
    <t>Standard for Quick Frozen Strawberries - CXS 52-1981 (CODEX)</t>
  </si>
  <si>
    <t xml:space="preserve">Strawberries   </t>
  </si>
  <si>
    <t>Standard for Quick Frozen Strawberries
This standard applies to quick frozen strawberries of the species Fragaria grandiflora L. and Fragaria vesca L., intended for direct consumption without further processing. It specifies the quality requirements, including the necessary composition, permissible food additives, and the acceptable physical characteristics of the strawberries, such as color, flavour, and texture.
The document also covers the processing and freezing methods, emphasizing that strawberries must be quickly frozen to maintain their quality. The standard includes detailed guidelines for packaging to ensure the product's protection during storage and transport, as well as labeling requirements to provide accurate consumer information. Hygiene practices are highlighted to ensure the strawberries are free from harmful microorganisms.
Additionally, the document provides methods of analysis and sampling to verify compliance with these standards, ensuring that quick frozen strawberries meet the necessary safety, quality, and labeling criteria for market distribution.</t>
  </si>
  <si>
    <t>https://www.fao.org/fao-who-codexalimentarius/sh-proxy/en/?lnk=1&amp;url=https%253A%252F%252Fworkspace.fao.org%252Fsites%252Fcodex%252FStandards%252FCXS%2B52-1981%252FCXS_052e.pdf</t>
  </si>
  <si>
    <t>Standard for Quick Frozen Raspberries - CXS 69-1981 (CODEX)</t>
  </si>
  <si>
    <t xml:space="preserve">Raspberries   </t>
  </si>
  <si>
    <t>Standard for Quick Frozen Raspberries
This standard applies to quick-frozen raspberries of the species Rubus idaeus L., which are intended for direct consumption without further processing. It specifies the quality and composition requirements, including the type of raspberries used, their preparation, and the freezing process, which must ensure that the product is quickly frozen to maintain quality.
The standard includes guidelines for optional ingredients like sugars, defines acceptable physical characteristics such as color, flavour, and texture, and sets limits on defects such as uncoloured berries or extraneous vegetable matter. Additionally, it regulates food additives, although none are permitted in this standard, and emphasizes strict hygiene practices to ensure the product is free from harmful microorganisms.
Labelling requirements are also covered, ensuring that the product is correctly labeled with its name, the term "quick-frozen," and any other necessary details. Packaging must protect the raspberries from contamination and quality degradation. The document provides methods for analysis and sampling to verify compliance with these standards, ensuring that quick-frozen raspberries meet international safety, quality, and labelling criteria.</t>
  </si>
  <si>
    <t>https://www.fao.org/fao-who-codexalimentarius/sh-proxy/en/?lnk=1&amp;url=https%253A%252F%252Fworkspace.fao.org%252Fsites%252Fcodex%252FStandards%252FCXS%2B69-1981%252FCXS_069e.pdf</t>
  </si>
  <si>
    <t>Standard for Quick Frozen Peaches - CXS 75-1981 (CODEX)</t>
  </si>
  <si>
    <t xml:space="preserve">Peaches   </t>
  </si>
  <si>
    <t>Standard for Quick Frozen Peaches
This standard applies to quick-frozen peaches intended for direct consumption without further processing, except for repacking if required. It specifies the essential composition and quality factors, including the types of peaches used, their preparation (such as whether they are whole, halved, sliced, or diced), and the acceptable color, flavour, and texture. The peaches must be quick-frozen to ensure they maintain their quality, with a specific focus on freezing the product to a temperature of -18°C at the thermal centre.
The standard also details the permissible food additives, such as ascorbic acid and citric acid, and sets limits on defects like discoloration, blemishes, and the presence of pits or pit fragments. It emphasizes the importance of proper hygiene practices during processing to ensure the peaches are free from harmful microorganisms and contaminants.
Labeling requirements are specified to ensure accurate information is provided to consumers, including the name of the product, the style of peaches, and the packing medium used. The document also includes guidelines for packaging to protect the quality of the peaches during storage and transportation. Methods of analysis and sampling are provided to verify compliance with these standards, ensuring that quick-frozen peaches meet international safety, quality, and labeling criteria.</t>
  </si>
  <si>
    <t>https://www.fao.org/fao-who-codexalimentarius/sh-proxy/en/?lnk=1&amp;url=https%253A%252F%252Fworkspace.fao.org%252Fsites%252Fcodex%252FStandards%252FCXS%2B75-1981%252FCXS_075e.pdf</t>
  </si>
  <si>
    <t>Standard for Quick Frozen Vegetables - CXS 320-2015 (CODEX)</t>
  </si>
  <si>
    <t>Standard for Quick Frozen Vegetables
This standard outlines the requirements for various types of quick frozen vegetables, including carrots, corn-on-the-cob, leeks, whole kernel corn, broccoli, Brussels sprouts, cauliflower, and others. It specifies the quality and composition standards these products must meet, including aspects such as moisture content, color uniformity, absence of defects, and general product integrity.
The standard also provides guidelines on processing, packaging, labeling, and storage to ensure that the vegetables maintain their quality and safety during handling and distribution. Specific provisions are detailed for each type of vegetable, such as the allowed levels of additives, handling practices, and acceptable levels of visual defects. Additionally, the document outlines the methods of analysis and sampling required to verify compliance with these standards. The overarching goal is to ensure that quick frozen vegetables meet international trade standards for safety, quality, and proper labeling.</t>
  </si>
  <si>
    <t>https://www.fao.org/fao-who-codexalimentarius/sh-proxy/en/?lnk=1&amp;url=https%253A%252F%252Fworkspace.fao.org%252Fsites%252Fcodex%252FStandards%252FCXS%2B320-2015%252FCXS_320e.pdf</t>
  </si>
  <si>
    <t>Standard for Quick Frozen Finfish Uneviscerated and Eviscerated - CXS 36-1981 (CODEX)</t>
  </si>
  <si>
    <t xml:space="preserve">Finfish   </t>
  </si>
  <si>
    <t>Standard for Quick Frozen Finfish, Uneviscerated and Eviscerated
These standards apply to finfish that are frozen for human consumption, with or without the removal of internal organs. The key aspects of these standards include the requirement that the fish must be quickly frozen to a temperature of -18°C or colder to ensure commercial sterility and maintain quality during transportation, storage, and distribution. The standards also cover the quality of the raw fish, glazing practices to prevent dehydration, and limits on histamine levels to ensure safety. Additionally, the document provides detailed guidelines on labeling, sampling, sensory and physical examination, and the acceptable use of food additives. These standards ensure that quick frozen finfish meet the necessary safety, quality, and labeling requirements for international trade.</t>
  </si>
  <si>
    <t>https://www.fao.org/fao-who-codexalimentarius/sh-proxy/en/?lnk=1&amp;url=https%253A%252F%252Fworkspace.fao.org%252Fsites%252Fcodex%252FStandards%252FCXS%2B36-1981%252FCXS_036e.pdf</t>
  </si>
  <si>
    <t>Standard for Quick Frozen Blocks of Fish Fillets, Minced Fish Flesh, and Mixtures of Fillets and Minced Fish Flesh - CXS 165-1989 (CODEX)</t>
  </si>
  <si>
    <t xml:space="preserve">Fish fillets     </t>
  </si>
  <si>
    <t>Standard for Quick Frozen Blocks of Fish Fillets, Minced Fish Flesh and Mixtures of Fillets and Minced Fish Flesh
These standards apply to blocks of fish that are quick frozen for further processing. The document specifies the requirements for the quality and composition of the fish, including the use of sound fish suitable for human consumption, proper glazing practices to prevent dehydration, and the control of histamine levels. The standards also cover the process of freezing, ensuring that the fish reaches the appropriate temperature to maintain its quality during storage and transportation. Additionally, the document provides guidelines for labeling, sampling, and physical examination, including the detection of parasites and the determination of net weight for products with and without glaze. These standards ensure that the final product meets safety, quality, and labeling requirements for international trade.</t>
  </si>
  <si>
    <t>https://www.fao.org/fao-who-codexalimentarius/sh-proxy/en/?lnk=1&amp;url=https%253A%252F%252Fworkspace.fao.org%252Fsites%252Fcodex%252FStandards%252FCXS%2B165-1989%252FCXS_165e.pdf</t>
  </si>
  <si>
    <t>Standard for Quick Frozen Fish Fillets - CXS 190-1995 (CODEX)</t>
  </si>
  <si>
    <t>Standard for Quick Frozen Fish Fillets
These standards apply to fish fillets that are frozen for direct consumption without further processing. The standards specify the requirements for the quality and composition of the fish, including proper glazing to prevent dehydration, and control of histamine levels to ensure safety. The fish must be quickly frozen to a temperature of -18ºC or colder to maintain quality during storage and distribution. The document also provides guidelines for labeling, including clear identification of the product and storage instructions, as well as detailed procedures for sampling, sensory and physical examination, and the detection of defects such as parasites, foreign matter, and abnormal odors or flavors. These standards ensure that quick frozen fish fillets meet safety, quality, and labeling requirements for international trade.</t>
  </si>
  <si>
    <t>https://www.fao.org/fao-who-codexalimentarius/sh-proxy/en/?lnk=1&amp;url=https%253A%252F%252Fworkspace.fao.org%252Fsites%252Fcodex%252FStandards%252FCXS%2B190-1995%252FCXS_190e.pdf</t>
  </si>
  <si>
    <t>OIE Standards on Animal Welfare</t>
  </si>
  <si>
    <t xml:space="preserve">G, I, K </t>
  </si>
  <si>
    <t>The purpose of the OIE’s international standards is to improve the health and welfare of animals throughout the world, regardless of socio-economic, religious or cultural context. Based on the most recent scientific and technical knowledge, they are aimed at improving the prevention and control of animal diseases, including those transmissible to humans (zoonoses), and to improve animal welfare worldwide; in particular, by establishing high- quality national Veterinary Services.</t>
  </si>
  <si>
    <t>https://www.woah.org/app/uploads/2021/03/en-normes.pdf</t>
  </si>
  <si>
    <t xml:space="preserve">Yes - research and development in sustainable and welfare-conscious methods of food production from animals. </t>
  </si>
  <si>
    <t>OIE international standards aim to improve the health and welfare of animals throughout the world, regardless of socio-economic, religious or cultural context; international; not legally binding.</t>
  </si>
  <si>
    <t xml:space="preserve">
International Standards for Fruits and Vegetables - Citrus Fruits (OECD) </t>
  </si>
  <si>
    <t>This publication provides comments and illustrations of standards in force regarding the classification, presentation and marking of citrus fruit in international trade under the Scheme for the Application of International Standards for Fruit and Vegetables set up by OECD in 1962. It is a valuable tool for both the Inspection Authorities and professional bodies responsible for the application of standards or interested in trade in citrus fruit.</t>
  </si>
  <si>
    <t>https://www.oecd.org/publications/citrus-fruits-9789264083745-en-fr.htm
https://read.oecd-ilibrary.org/agriculture-and-food/citrus-fruits_9789264083745-en-fr#page15</t>
  </si>
  <si>
    <t>Sets OECD marketing standards for citrus fruit; international; not legally binding.</t>
  </si>
  <si>
    <t>International Standards for Fruits &amp; Vegetables (OECD)</t>
  </si>
  <si>
    <t xml:space="preserve">A, B, D, E, </t>
  </si>
  <si>
    <t>For the fruit and vegetables that are not regulated by Regulation EU 543/2011, the international marketing standards are developed by OECD. The OECD Fruit and Vegetables Schemes provide a complete and internationally harmonised quality inspection system for 28 participating countries. The mutual recognition of inspections is strengthened through the implementation of peer reviews on national quality inspection systems, the organisation of meetings for the heads of national inspection services, and workshops for inspectors. Frequent meetings allow for a robust dialogue among stakeholders in elaborating and reviewing the interpretation of international standards (established by UNECE and CODEX), as well as defining inspection procedures.</t>
  </si>
  <si>
    <t>https://www.oecd.org/en/topics/oecd-standards-for-agriculture.html</t>
  </si>
  <si>
    <t>Sets OECD  international standards for fruits &amp; vegetables; international; not legally binding.</t>
  </si>
  <si>
    <r>
      <rPr>
        <b/>
        <sz val="12"/>
        <color theme="1"/>
        <rFont val="Calibri"/>
        <family val="2"/>
        <scheme val="minor"/>
      </rPr>
      <t>International Standards for Fruits and Vegetables - Fresh Figs (OECD)</t>
    </r>
    <r>
      <rPr>
        <sz val="12"/>
        <color theme="1"/>
        <rFont val="Calibri"/>
        <family val="2"/>
        <scheme val="minor"/>
      </rPr>
      <t xml:space="preserve">
PROVISIONS CONCERING QUALITY - Minimum Requirements</t>
    </r>
  </si>
  <si>
    <t>Fresh Figs</t>
  </si>
  <si>
    <t>Fresh figs must be: intact, sound, clean, free from pests, damage, abnormal external moisture, any foreign smell and/or taste.</t>
  </si>
  <si>
    <t>https://read.oecd-ilibrary.org/agriculture-and-food/fresh-figs_9789264234086-en-fr</t>
  </si>
  <si>
    <t>Sets OECD standards for fresh figs; international; not legally binding.</t>
  </si>
  <si>
    <t>PROVISIONS CONCERNING QUALITY - Classification</t>
  </si>
  <si>
    <t>The development and state of maturity of the fresh figs must be such as to enable them to continue their ripening process and to reach the degree of ripeness required in relation to the varietal characteristics.</t>
  </si>
  <si>
    <t>PROVISIONS CONCERNING QUALITY- Maturity requirements</t>
  </si>
  <si>
    <t>Fresh figs are classified in three classes: “Extra” Class, Class I, Class II</t>
  </si>
  <si>
    <t>PROVISIONS CONCERNING SIZING</t>
  </si>
  <si>
    <t>Size is determined by the maximum diameter of the equatorial section. The minimum size shall be 40 mm.</t>
  </si>
  <si>
    <t>PROVISIONS CONCERNING TOLERANCES- Quality tolerances</t>
  </si>
  <si>
    <t>(i) “Extra” Class
A total tolerance of 5 percent.
(ii) Class I
A total tolerance of percent. Within this tolerance not more than 1 percent.
(iii) Class II
A total tolerance of 10 percent. Within this tolerance not more than 2 percent.</t>
  </si>
  <si>
    <t>PROVISIONS CONCERNING TOLERANCES- Size tolerances</t>
  </si>
  <si>
    <t>A total tolerance of 10 percent, by number or weight, of fresh figs not satisfying the requirements as regards sizing is allowed. This tolerance may not be extended to include fresh figs with a diameter below 35 mm.</t>
  </si>
  <si>
    <t>PROVISIONS CONCERNING PRESENTATION - Uniformity</t>
  </si>
  <si>
    <t>The contents of each package must be uniform and contain only fresh figs of the same origin, variety or commercial type, quality, size, appreciably the same degree of ripeness and, for the “Extra” Class, of uniform colouring.</t>
  </si>
  <si>
    <t>PROVISIONS CONCERNING PRESENTATION- Packaging</t>
  </si>
  <si>
    <t>Fresh figs must be packed in such a way as to protect the produce properly.</t>
  </si>
  <si>
    <t>PROVISIONS CONCERNING MARKING- Identification</t>
  </si>
  <si>
    <t>Each package must bear the following particulars:
A. Identification
B. Nature of produce
C. Origin of produce
D. Commercial specifications</t>
  </si>
  <si>
    <r>
      <rPr>
        <b/>
        <sz val="12"/>
        <color theme="1"/>
        <rFont val="Calibri"/>
        <family val="2"/>
        <scheme val="minor"/>
      </rPr>
      <t xml:space="preserve">International Standards for Fruits and Vegetables - Garlic (OECD) </t>
    </r>
    <r>
      <rPr>
        <sz val="12"/>
        <color theme="1"/>
        <rFont val="Calibri"/>
        <family val="2"/>
        <scheme val="minor"/>
      </rPr>
      <t xml:space="preserve">
PROVISIONS CONCERNING QUALITY- Minimum Requirements</t>
    </r>
  </si>
  <si>
    <t>Garlic</t>
  </si>
  <si>
    <t>In all classes, subject to the special provisions for each class and the tolerances allowed, the bulbs must be: Intact, sound, clean, free from pests, damage caused by pests, must be firm, free of damage caused by frost or sun, free of externally visible sprouts, free of abnormal external moisture, free of any foreign smell and/or taste. For dry garlic, if trimmed, the stem length should not exceed 3 cm.</t>
  </si>
  <si>
    <t>https://www.oecd-ilibrary.org/docserver/9789264272941-en-fr.pdf?expires=1714684325&amp;id=id&amp;accname=guest&amp;checksum=51E7DB1330BBA930286B91FBC4337913</t>
  </si>
  <si>
    <t>Sets OECD standards for garlic; international; not legally binding.</t>
  </si>
  <si>
    <t>Garlic is classified in three classes, as defined below: “Extra” Class, Class I, Class II.</t>
  </si>
  <si>
    <t>https://www.oecd-ilibrary.org/docserver/9789264272941-en-fr.pdf?expires=1714684325&amp;id=id&amp;accname=guest&amp;checksum=51E7DB1330BBA930286B91FBC4337914</t>
  </si>
  <si>
    <t>Size is determined by the maximum diameter of the equatorial section. The minimum diameter shall be:
• 45 mm for "Extra" Class;
• 30 mm for Classes I and II.
To ensure uniformity in size, the range in size between produce in the same package shall not exceed:
• 15 mm when the smallest bulb has a diameter of less than 40 mm;
• 20 mm when the smallest bulb has a diameter equal to or more than 40 mm.</t>
  </si>
  <si>
    <t>https://www.oecd-ilibrary.org/docserver/9789264272941-en-fr.pdf?expires=1714684325&amp;id=id&amp;accname=guest&amp;checksum=51E7DB1330BBA930286B91FBC4337915</t>
  </si>
  <si>
    <t>PROVISIONS CONCERNING TOLERANCES - Quality tolerances</t>
  </si>
  <si>
    <t>i) "Extra“ Class
A total tolerance of 5 percent, by number or weight, of garlic not satisfying the requirements of the class but meeting those of Class I is allowed. Within this tolerance not more than 0.5 percent in total may consist of produce satisfying the requirements of Class II quality.  
ii) Class I
A total tolerance of 10 percent, by number or weight, of garlic not satisfying the requirements of the class but meeting those of Class II is allowed. Within this tolerance not more than 1 percent in total may consist of produce satisfying neither the requirements of Class II quality nor the minimum requirements, or of produce affected by decay. 
iii) Class II
A total tolerance of 10 percent, by number or weight, of garlic satisfying neither the requirements of the class nor the minimum requirements is allowed. Within this tolerance not more than 2 per cent in total may consist of produce affected by decay.</t>
  </si>
  <si>
    <t>https://www.oecd-ilibrary.org/docserver/9789264272941-en-fr.pdf?expires=1714684325&amp;id=id&amp;accname=guest&amp;checksum=51E7DB1330BBA930286B91FBC4337916</t>
  </si>
  <si>
    <t>PROVISIONS CONCERNING TOLERANCES - Size tolerances</t>
  </si>
  <si>
    <t>For all classes: A total tolerance of 10 percent by weight of garlic not satisfying the requirements as regards sizing is allowed.</t>
  </si>
  <si>
    <t>https://www.oecd-ilibrary.org/docserver/9789264272941-en-fr.pdf?expires=1714684325&amp;id=id&amp;accname=guest&amp;checksum=51E7DB1330BBA930286B91FBC4337917</t>
  </si>
  <si>
    <t>The contents of each package must be uniform and contain only garlic of the same origin, variety or commercial type, quality and size.</t>
  </si>
  <si>
    <t>https://www.oecd-ilibrary.org/docserver/9789264272941-en-fr.pdf?expires=1714684325&amp;id=id&amp;accname=guest&amp;checksum=51E7DB1330BBA930286B91FBC4337918</t>
  </si>
  <si>
    <t>PROVISIONS CONCERNING PRESENTATION - Packaging</t>
  </si>
  <si>
    <t>Garlic must be packed in such a way so as to protect the produce properly.</t>
  </si>
  <si>
    <t>https://www.oecd-ilibrary.org/docserver/9789264272941-en-fr.pdf?expires=1714684325&amp;id=id&amp;accname=guest&amp;checksum=51E7DB1330BBA930286B91FBC4337919</t>
  </si>
  <si>
    <t>PROVISIONS CONCERNING MARKING - Identification</t>
  </si>
  <si>
    <t>https://www.oecd-ilibrary.org/docserver/9789264272941-en-fr.pdf?expires=1714684325&amp;id=id&amp;accname=guest&amp;checksum=51E7DB1330BBA930286B91FBC4337920</t>
  </si>
  <si>
    <t>Noi</t>
  </si>
  <si>
    <r>
      <rPr>
        <b/>
        <sz val="12"/>
        <color theme="1"/>
        <rFont val="Calibri"/>
        <family val="2"/>
        <scheme val="minor"/>
      </rPr>
      <t xml:space="preserve">International Standards for Fruits and Vegetables - Inshell Hazelnuts and Hazelnut Kernels (OECD) </t>
    </r>
    <r>
      <rPr>
        <sz val="12"/>
        <color theme="1"/>
        <rFont val="Calibri"/>
        <family val="2"/>
        <scheme val="minor"/>
      </rPr>
      <t xml:space="preserve">
PROVISIONS CONCERNING QUALITY - Minimum Requirements</t>
    </r>
  </si>
  <si>
    <t>Inshell Hazelnuts 
and Hazelnut Kernels</t>
  </si>
  <si>
    <t>The shell must be: intact, clean, free from blemishes.
The kernel must be free from rancidity, sufficiently developed, not desiccated, well formed. The whole produce (shell and kernel) must be: dried in accordance with section “B. Moisture content”, sound, free from mould filaments visible to the naked eye, free from living pests, damage, of abnormal external moisture, of any foreign smell and/or taste.</t>
  </si>
  <si>
    <t>https://read.oecd-ilibrary.org/agriculture-and-food/inshell-hazelnuts-and-hazelnut-kernels_9789264166721-en-fr</t>
  </si>
  <si>
    <t>Sets OECD standards for hazelnuts and hazelnut kernels; international; not legally binding.</t>
  </si>
  <si>
    <t>“Extra” Class, Class I, Class II.</t>
  </si>
  <si>
    <t>PROVISIONS CONCERNING QUALITY - Moisture content</t>
  </si>
  <si>
    <t>The inshell hazelnuts shall have a moisture content not exceeding 12 percent for the whole nut or 7 percent for the kernel.</t>
  </si>
  <si>
    <t>Sizing of inshell hazelnuts is mandatory for “Extra” Class and Class I, but optional for Class II. The size is determined by the maximum diameter of the equatorial section of the shell. The minimum size is 12 mm in diameter.</t>
  </si>
  <si>
    <t>Tolerances for shells and kernels not satisfying the minimum requirements, of which no more than:
- Not sufficiently developed or empty shells: for "extra" no more than 6 percent, for class I no more than  9 percent, for class II no more than 12 percent,
- Mouldy, rancid, damaged by pests, rotting or deterioration: for "extra" no more than 3 percent, for class I no more than 5 percent, for class II no more than 6 percent.</t>
  </si>
  <si>
    <t>For produce not conforming to the provisions concerning sizing and the size indicated: for "extra", xlass I, class II no more than 10 percent.</t>
  </si>
  <si>
    <t>The contents of each package must be uniform and contain only inshell hazelnuts of the same origin, quality, crop year, size (if sized) and variety or commercial type (if indicated).</t>
  </si>
  <si>
    <t>Inshell Hazelnuts must be packed in such a way as to protect the produce properly.</t>
  </si>
  <si>
    <t>PROVISIONS CONCERNING PRESENTATION</t>
  </si>
  <si>
    <t xml:space="preserve">Inshell hazelnuts must be presented in bags or solid containers. All sales packages within each package must be of the same weight. </t>
  </si>
  <si>
    <r>
      <rPr>
        <b/>
        <sz val="12"/>
        <color theme="1"/>
        <rFont val="Calibri"/>
        <family val="2"/>
        <scheme val="minor"/>
      </rPr>
      <t>International Standards for Fruits and Vegetables - Leeks (OECD)</t>
    </r>
    <r>
      <rPr>
        <sz val="12"/>
        <color theme="1"/>
        <rFont val="Calibri"/>
        <family val="2"/>
        <scheme val="minor"/>
      </rPr>
      <t xml:space="preserve">
PROVISIONS CONCERNING QUALITY- Minimum Requirements</t>
    </r>
  </si>
  <si>
    <t>Leeks</t>
  </si>
  <si>
    <t>In all classes, subject to the special provisions for each class and the tolerances allowed, the leeks must be: intact, sound, clean, free from pests, damage, not running to seed, free of abnormal external moisture, free of any foreign smell and/or taste.</t>
  </si>
  <si>
    <t>https://www.oecd-ilibrary.org/docserver/dbf45fde-en-fr.pdf?expires=1714684486&amp;id=id&amp;accname=guest&amp;checksum=8EBA4104DBC1C842B5F0A1AF67690B23</t>
  </si>
  <si>
    <t>Sets OECD standards for leeks; international; not legally binding.</t>
  </si>
  <si>
    <t>Leeks are classified in two classes, as defined: Class I, Class II.</t>
  </si>
  <si>
    <t>https://www.oecd-ilibrary.org/docserver/dbf45fde-en-fr.pdf?expires=1714684486&amp;id=id&amp;accname=guest&amp;checksum=8EBA4104DBC1C842B5F0A1AF67690B24</t>
  </si>
  <si>
    <t>Size is determined by the diameter measured at right angles to the longitudinal axis in the middle of the sheathed part. To ensure uniformity in size, the diameter of the largest leek in the same bundle or package must not be more than twice the diameter of the smallest leek.</t>
  </si>
  <si>
    <t>https://www.oecd-ilibrary.org/docserver/dbf45fde-en-fr.pdf?expires=1714684486&amp;id=id&amp;accname=guest&amp;checksum=8EBA4104DBC1C842B5F0A1AF67690B25</t>
  </si>
  <si>
    <t>i) Class I
A total tolerance of 10 percent, by number or weight, of leeks not satisfying the requirements of the class but meeting those of Class II is allowed. 
ii) Class II
A total tolerance of 10 percent, by number or weight, of leeks satisfying neither the requirements of the class nor the minimum requirements is allowed.</t>
  </si>
  <si>
    <t>https://www.oecd-ilibrary.org/docserver/dbf45fde-en-fr.pdf?expires=1714684486&amp;id=id&amp;accname=guest&amp;checksum=8EBA4104DBC1C842B5F0A1AF67690B26</t>
  </si>
  <si>
    <t>For all classes (if sized): A total tolerance of 10 percent, by number or weight, of leeks not satisfying the requirements as regards sizing is allowed.</t>
  </si>
  <si>
    <t>https://www.oecd-ilibrary.org/docserver/dbf45fde-en-fr.pdf?expires=1714684486&amp;id=id&amp;accname=guest&amp;checksum=8EBA4104DBC1C842B5F0A1AF67690B27</t>
  </si>
  <si>
    <t>The contents of each package , or each bundle in the same package must be uniform and contain only leeks of the same origin, variety or commercial type, quality and size (if sized), and appreciably the same degree of development and colouring.</t>
  </si>
  <si>
    <t>https://www.oecd-ilibrary.org/docserver/dbf45fde-en-fr.pdf?expires=1714684486&amp;id=id&amp;accname=guest&amp;checksum=8EBA4104DBC1C842B5F0A1AF67690B28</t>
  </si>
  <si>
    <t>The leeks must be packed in such a way as to protect the produce properly.</t>
  </si>
  <si>
    <t>https://www.oecd-ilibrary.org/docserver/dbf45fde-en-fr.pdf?expires=1714684486&amp;id=id&amp;accname=guest&amp;checksum=8EBA4104DBC1C842B5F0A1AF67690B29</t>
  </si>
  <si>
    <t>https://www.oecd-ilibrary.org/docserver/dbf45fde-en-fr.pdf?expires=1714684486&amp;id=id&amp;accname=guest&amp;checksum=8EBA4104DBC1C842B5F0A1AF67690B30</t>
  </si>
  <si>
    <r>
      <rPr>
        <b/>
        <sz val="12"/>
        <rFont val="Calibri"/>
        <family val="2"/>
        <scheme val="minor"/>
      </rPr>
      <t>International Standards for Fruits and Vegetables - Mangoes (OECD)</t>
    </r>
    <r>
      <rPr>
        <sz val="12"/>
        <rFont val="Calibri"/>
        <family val="2"/>
        <scheme val="minor"/>
      </rPr>
      <t xml:space="preserve">
PROVISIONS CONCERNING QUALITY - Minimum Requirements</t>
    </r>
  </si>
  <si>
    <t>Mangoes</t>
  </si>
  <si>
    <t>In all classes, subject to the special provisions for each class and the tolerances allowed, the mangoes must be: intact, sound, clean, fresh in appearance, free from pests, damage, from black stains or trails, from marked bruising, free of any foreign smell and/or taste.</t>
  </si>
  <si>
    <t>https://www.oecd-ilibrary.org/docserver/f9210db0-en-fr.pdf?expires=1714684643&amp;id=id&amp;accname=guest&amp;checksum=FF14B51CAE784302E24CB710A213E6FB</t>
  </si>
  <si>
    <t>Sets OECD minimum requirements for mangoes; international; not legally binding.</t>
  </si>
  <si>
    <t>Mangoes are classified in three classes, as defined: “Extra” Class, Class I, Class II.</t>
  </si>
  <si>
    <t>Sets OECD classification requirements for mangoes; international; not legally binding.</t>
  </si>
  <si>
    <t>PROVISIONS CONCERNING QUALITY - Maturity requirements</t>
  </si>
  <si>
    <t>The development and state of maturity of the mangoes must be such as to enable them to continue the ripening process and to reach a satisfactory degree of ripeness.</t>
  </si>
  <si>
    <t>Sets OECD maturity requirements for mangoes; international; not legally binding.</t>
  </si>
  <si>
    <t>Size is determined by the weight of the fruit or by count. The minimum weight of mangoes shall be 100 g.</t>
  </si>
  <si>
    <t>Sets OECD sizing requirements for  mangoes; international; not legally binding.</t>
  </si>
  <si>
    <t>(i) “Extra” Class
A total tolerance of 5 percent, by number or weight, of mangoes not satisfying the requirements of the class but meeting those of Class I is allowed.
ii) Class I
A total tolerance of 10 percent, by number or weight, of mangoes not satisfying the requirements of the class but meeting those of Class II is allowed.
iii) Class II
A total tolerance of 10 percent, by number or weight, of mangoes satisfying neither the requirements of the class nor the minimum requirements is allowed.</t>
  </si>
  <si>
    <t>Sets OECD quality tolerances requirements for mangoes; international; not legally binding.</t>
  </si>
  <si>
    <t>For all classes: A total tolerance of 10 percent, by number or weight, of mangoes not satisfying the requirements as regards sizing is allowed.</t>
  </si>
  <si>
    <t>Sets OECD size tolerances requirements for mangoes; international; not legally binding.</t>
  </si>
  <si>
    <t>The contents of each package must be uniform and contain only mangoes of the same origin, variety, quality, and size.</t>
  </si>
  <si>
    <t>Sets OECD uniformity requirements for mangoes; international; not legally binding.</t>
  </si>
  <si>
    <t xml:space="preserve">Mangoes must be packed in such a way as to protect the produce properly. </t>
  </si>
  <si>
    <t>Sets OECD packaging requirements for mangoes; international; not legally binding.</t>
  </si>
  <si>
    <t>Sets OECD marking identification requirements for mangoes; international; not legally binding.</t>
  </si>
  <si>
    <r>
      <rPr>
        <b/>
        <sz val="12"/>
        <rFont val="Calibri"/>
        <family val="2"/>
        <scheme val="minor"/>
      </rPr>
      <t>International Standards for Fruits and Vegetables - Melons (OECD)</t>
    </r>
    <r>
      <rPr>
        <sz val="12"/>
        <rFont val="Calibri"/>
        <family val="2"/>
        <scheme val="minor"/>
      </rPr>
      <t xml:space="preserve">
PROVISIONS CONCERNING QUALITY- Minimum Requirements</t>
    </r>
  </si>
  <si>
    <t>Melons</t>
  </si>
  <si>
    <t>In all classes, subject to the special provisions for each class and the tolerances allowed, the melons must be: intact, sound, clean, fresh in appearance, free from pests, from damage, firm, Free of abnormal external moisture, of any foreign smell and/or taste.</t>
  </si>
  <si>
    <t>https://read.oecd-ilibrary.org/agriculture-and-food/melons_9789264213289-en-fr</t>
  </si>
  <si>
    <t>Sets OECD minimum requirements for melons; international; not legally binding.</t>
  </si>
  <si>
    <t>Melons are classified in two classes, as defined below: Class I and Class II.</t>
  </si>
  <si>
    <t>Sets OECD classification requirements for melons; international; not legally binding.</t>
  </si>
  <si>
    <t>The melons must be sufficiently developed and display satisfactory ripeness.</t>
  </si>
  <si>
    <t>Sets OECD maturity requirements for melons; international; not legally binding.</t>
  </si>
  <si>
    <t>Size is determined by the weight of one unit or by the diameter of the equatorial section.</t>
  </si>
  <si>
    <t>Sets OECD sizing requirements for melons; international; not legally binding.</t>
  </si>
  <si>
    <t>i) Class I
A total tolerance of 10 percent, by number or weight, of melons not satisfying the requirements of the class but meeting those of Class II is allowed.
ii) Class II
A total tolerance of 10 percent, by number or weight, of melons satisfying neither the requirements of the class nor the minimum requirements is allowed.</t>
  </si>
  <si>
    <t>Sets OECD quality tolerances requirements for melons; international; not legally binding.</t>
  </si>
  <si>
    <t xml:space="preserve">For all classes: A total tolerance of 10 percent, by number or weight, of melons not satisfying the requirements as regards sizing is allowed. </t>
  </si>
  <si>
    <t>Sets OECD size tolerances requirements for melons; international; not legally binding.</t>
  </si>
  <si>
    <t>The contents of each package must be uniform and contain only melons of the same origin, variety or commercial type, quality and size, and which have reached appreciably the same degree of development and ripeness and are of appreciably the same colour.</t>
  </si>
  <si>
    <t>Sets OECD uniformity requirements for melons; international; not legally binding.</t>
  </si>
  <si>
    <t>Melons must be packed in such a way as to protect the produce properly</t>
  </si>
  <si>
    <t>Sets OECD packaging requirements for melons; international; not legally binding.</t>
  </si>
  <si>
    <t>Sets OECD marking identification requirements for melons; international; not legally binding.</t>
  </si>
  <si>
    <r>
      <rPr>
        <b/>
        <sz val="12"/>
        <color theme="1"/>
        <rFont val="Calibri (Body)"/>
      </rPr>
      <t>International Standards for Fruits and Vegetables - Onions (OECD)</t>
    </r>
    <r>
      <rPr>
        <sz val="12"/>
        <rFont val="Calibri"/>
        <family val="2"/>
        <scheme val="minor"/>
      </rPr>
      <t xml:space="preserve">
PROVISIONS CONCERNING QUALITY - Minimum Requirements</t>
    </r>
  </si>
  <si>
    <t>Onions</t>
  </si>
  <si>
    <t>In all classes, subject to the special provisions for each class and the tolerances allowed, the bulbs must be:
• intact, sound, clean, free from damage due to frost, without hollow or tough stems, free from pests,  from damage, free of abnormal external moisture, free of any foreign smell and/or taste.</t>
  </si>
  <si>
    <t>https://read.oecd-ilibrary.org/agriculture-and-food/onions_9789264175082-en-fr</t>
  </si>
  <si>
    <t>Sets OECD minimum requirements for onions; international; not legally binding.</t>
  </si>
  <si>
    <t>The onions are classified in two classes, as defined below: Class I, Class II.</t>
  </si>
  <si>
    <t>Sets OECD classification requirements for onions; international; not legally binding.</t>
  </si>
  <si>
    <t>Size is determined by the maximum diameter of the equatorial section. The minimum diameter shall be 10 mm.</t>
  </si>
  <si>
    <t>Sets OECD sizing requirements for onions; international; not legally binding.</t>
  </si>
  <si>
    <t>i) Class I
a total tolerance of 10 percent, by number or weight, of onions not satisfying the requirements of the class, but meeting those of class ii is allowed.
ii) Class II
a total tolerance of 10 percent, by number or weight, of onions satisfying neither the requirements of the class nor the minimum requirements is allowed.</t>
  </si>
  <si>
    <t>Sets OECD quality tolerances requirements for onions; international; not legally binding.</t>
  </si>
  <si>
    <t>For all classes: a total tolerance of 10 percent, by number or weight, of onions not satisfying the requirements as regards sizing is allowed.</t>
  </si>
  <si>
    <t>Sets OECD size tolerances requirements for onions; international; not legally binding.</t>
  </si>
  <si>
    <t>The contents of each package (or lot for produce presented in bulk in the transport vehicle) must be uniform and contain only onions of the same origin, variety or commercial type, quality and size.</t>
  </si>
  <si>
    <t>Sets OECD uniformity requirements for onions; international; not legally binding.</t>
  </si>
  <si>
    <t xml:space="preserve">Onions must be packed in such a way as to protect the produce properly. </t>
  </si>
  <si>
    <t>Sets OECD packaging requirements for onions; international; not legally binding.</t>
  </si>
  <si>
    <t>Sets OECD marking identification requirements for onions; international; not legally binding.</t>
  </si>
  <si>
    <r>
      <rPr>
        <b/>
        <sz val="12"/>
        <rFont val="Calibri"/>
        <family val="2"/>
        <scheme val="minor"/>
      </rPr>
      <t>International Standards for Fruits and Vegetables - Passion Fruit (OECD)</t>
    </r>
    <r>
      <rPr>
        <sz val="12"/>
        <rFont val="Calibri"/>
        <family val="2"/>
        <scheme val="minor"/>
      </rPr>
      <t xml:space="preserve">
PROVISIONS CONCERNING QUALITY - Minimum Requirements</t>
    </r>
  </si>
  <si>
    <t>Passion Fruit</t>
  </si>
  <si>
    <t>In all classes, subject to the special provisions for each class and the tolerances allowed, the passion fruits must be:
– whole, fresh in appearance, firm, free of abnormal external moisture, free of any foreign smell and/or taste, the stem/stalk should be present'
– sound, clean, free of any visible foreign matter, free of pests and damage, free of surface depressions, free of cracking.</t>
  </si>
  <si>
    <t>https://www.oecd.org/agriculture/fruit-vegetables/publications/brochures/Brochure%20Passion%20Fruit%202023%20interactif%20%20%20Fiches%20V2.pdf</t>
  </si>
  <si>
    <t>Sets OECD minimum requirements for passion fruit; international; not legally binding.</t>
  </si>
  <si>
    <t>Passion fruits are classified into three classes: “Extra“ Class, Class I, Class II.</t>
  </si>
  <si>
    <t>Sets OECD classification requirements for passion fruit; international; not legally binding.</t>
  </si>
  <si>
    <t>Passion fruits may be sized by diameter, count or weight; or in accordance with pre-existing trading practices. When such is the case, the package must be labelled accordingly.</t>
  </si>
  <si>
    <t>Sets OECD sizing requirements for passion fruit; international; not legally binding.</t>
  </si>
  <si>
    <t>i) “Extra“ Class
Five percent by number or weight of passion fruits not satisfying the requirements of the class, but meeting those of Class I or, exceptionally, coming within the tolerances of that class.
ii) Class I
Ten percent by number or weight of passion fruits not satisfying the requirements of the class, but meeting those of Class II or, exceptionally, coming within the tolerances of that class.
iii) Class II
Ten percent by number or weight of passion fruits satisfying neither the requirements of the class nor the minimum requirements, with the exception of produce affected by rotting or any other deterioration rendering it unfit for consumption.</t>
  </si>
  <si>
    <t>Sets OECD quality tolerances requirements for passion fruit; international; not legally binding.</t>
  </si>
  <si>
    <t>For all classes or forms of presentation, 10 percent by number or weight of passion fruits corresponding to the size immediately above and/or below that indicated on the package.</t>
  </si>
  <si>
    <t>Sets OECD size tolerances requirements for passion fruit; international; not legally binding.</t>
  </si>
  <si>
    <t>The contents of each package must be uniform and contain only passion fruits of the same origin, variety, quality, colour and size. The visible part of the contents of the package must be representative of the entire contents.</t>
  </si>
  <si>
    <t>Sets OECD uniformity requirements for passion fruit; international; not legally binding.</t>
  </si>
  <si>
    <t>Passion fruits must be packed in such a way as to protect the produce properly.</t>
  </si>
  <si>
    <t>Sets OECD packaging requirements for passion fruit; international; not legally binding.</t>
  </si>
  <si>
    <t>Each package must bear the following particulars:
A. Nature of produce
B. Identification
C. Origin of produce
D. Commercial specifications
E. Consumer packages
F. Non-retail containers
G. Official Inspection Mark (optional)</t>
  </si>
  <si>
    <t>Sets OECD marking identification requirements for passion fruit; international; not legally binding.</t>
  </si>
  <si>
    <r>
      <rPr>
        <b/>
        <sz val="12"/>
        <rFont val="Calibri"/>
        <family val="2"/>
        <scheme val="minor"/>
      </rPr>
      <t>International Standards for Fruits and Vegetables - Plums (OECD)</t>
    </r>
    <r>
      <rPr>
        <sz val="12"/>
        <rFont val="Calibri"/>
        <family val="2"/>
        <scheme val="minor"/>
      </rPr>
      <t xml:space="preserve">
PROVISIONS CONCERNING QUALITY - Minimum Requirements</t>
    </r>
  </si>
  <si>
    <t>Plums</t>
  </si>
  <si>
    <t>In all classes, subject to the special provisions for each class and the tolerances allowed, the plums must be: intact, sound, clean, free from pests, damage, free of abnormal external moisture, free of any foreign smell and/or taste.</t>
  </si>
  <si>
    <t>https://www.oecd-ilibrary.org/docserver/dda2dfce-en-fr.pdf?expires=1714684906&amp;id=id&amp;accname=guest&amp;checksum=F9E18B0470BCBB1240457C7D3BA41C21</t>
  </si>
  <si>
    <t>Sets OECD minimum requirements for plums; international; not legally binding.</t>
  </si>
  <si>
    <t>Plums are classified in three classes, as defined: “Extra“ Class, Class I, Class II.</t>
  </si>
  <si>
    <t>Sets OECD classification requirements for plums; international; not legally binding.</t>
  </si>
  <si>
    <t>The development and state of maturity of the plums must be such as to enable them to continue their ripening process and to reach a satisfactory degree of ripeness.</t>
  </si>
  <si>
    <t>https://www.oecd-ilibrary.org/docserver/dda2dfce-en-fr.pdf?expires=1714684906&amp;id=id&amp;accname=guest&amp;checksum=F9E18B0470BCBB1240457C7D3BA41C22</t>
  </si>
  <si>
    <t>Sets OECD maturity requirements for plums; international; not legally binding.</t>
  </si>
  <si>
    <t xml:space="preserve">Size is determined by the maximum diameter of the equatorial section. </t>
  </si>
  <si>
    <t>https://www.oecd-ilibrary.org/docserver/dda2dfce-en-fr.pdf?expires=1714684906&amp;id=id&amp;accname=guest&amp;checksum=F9E18B0470BCBB1240457C7D3BA41C23</t>
  </si>
  <si>
    <t>Sets OECD sizing requirements for plums; international; not legally binding.</t>
  </si>
  <si>
    <t>i) “Extra“ Class
A total tolerance of 5 percent, by number or weight, of plums not satisfying the requirements of the class but meeting those of Class I is allowed.
ii) Class I
A total tolerance of 10 percent, by number or weight, of plums not satisfying the requirements of the class but meeting those of Class II is allowed.
iii) Class II
A total tolerance of 10 percent, by number or weight, of plums satisfying neither the requirements of the class nor the minimum requirements is allowed.</t>
  </si>
  <si>
    <t>https://www.oecd-ilibrary.org/docserver/dda2dfce-en-fr.pdf?expires=1714684906&amp;id=id&amp;accname=guest&amp;checksum=F9E18B0470BCBB1240457C7D3BA41C24</t>
  </si>
  <si>
    <t>Sets OECD quality tolerances requirements for plums; international; not legally binding.</t>
  </si>
  <si>
    <t>For all classes (if sized): A total tolerance of 10 percent, by number or weight, of plums not satisfying the requirements as regards sizing is allowed.</t>
  </si>
  <si>
    <t>https://www.oecd-ilibrary.org/docserver/dda2dfce-en-fr.pdf?expires=1714684906&amp;id=id&amp;accname=guest&amp;checksum=F9E18B0470BCBB1240457C7D3BA41C25</t>
  </si>
  <si>
    <t>Sets OECD size tolerances requirements for plums; international; not legally binding.</t>
  </si>
  <si>
    <t>The contents of each package must be uniform and contain only plums of the same origin, variety, quality and size (if sized), and for the "Extra" Class, the contents must also be uniform in colour.</t>
  </si>
  <si>
    <t>https://www.oecd-ilibrary.org/docserver/dda2dfce-en-fr.pdf?expires=1714684906&amp;id=id&amp;accname=guest&amp;checksum=F9E18B0470BCBB1240457C7D3BA41C26</t>
  </si>
  <si>
    <t>Sets OECD uniformity requirements for plums; international; not legally binding.</t>
  </si>
  <si>
    <t xml:space="preserve">The plums must be packed in such a way as to protect the produce properly. </t>
  </si>
  <si>
    <t>https://www.oecd-ilibrary.org/docserver/dda2dfce-en-fr.pdf?expires=1714684906&amp;id=id&amp;accname=guest&amp;checksum=F9E18B0470BCBB1240457C7D3BA41C27</t>
  </si>
  <si>
    <t>Sets OECD packaging requirements for plums; international; not legally binding.</t>
  </si>
  <si>
    <t>https://www.oecd-ilibrary.org/docserver/dda2dfce-en-fr.pdf?expires=1714684906&amp;id=id&amp;accname=guest&amp;checksum=F9E18B0470BCBB1240457C7D3BA41C28</t>
  </si>
  <si>
    <t>Sets OECD marking identification requirements for plums; international; not legally binding.</t>
  </si>
  <si>
    <r>
      <rPr>
        <b/>
        <sz val="12"/>
        <rFont val="Calibri"/>
        <family val="2"/>
        <scheme val="minor"/>
      </rPr>
      <t>International Standards for Fruits and Vegetables - Pomegranate Grenade (OECD)</t>
    </r>
    <r>
      <rPr>
        <sz val="12"/>
        <rFont val="Calibri"/>
        <family val="2"/>
        <scheme val="minor"/>
      </rPr>
      <t xml:space="preserve">
PROVISIONS CONCERNING QUALITY - Minimum Requirements</t>
    </r>
  </si>
  <si>
    <t>Pomegranate Grenade</t>
  </si>
  <si>
    <t>In all classes, subject to the special provisions for each class and the tolerances allowed, the pomegranates must be: whole, sound, clean, free of pests and damage, free of abnormal external moisture, free of any foreign smell and/or taste, free of damage caused by frost, free of damage caused by low and/or high temperatures.</t>
  </si>
  <si>
    <t>https://read.oecd-ilibrary.org/agriculture-and-food/pomegranate_9789264206700-en-fr#page1</t>
  </si>
  <si>
    <t>Sets OECD minimum requirements for pomegranate grenade; international; not legally binding.</t>
  </si>
  <si>
    <t>Pomegranates are classified in three classes, as defined: “Extra“ Class, Class I, Class II.</t>
  </si>
  <si>
    <t>https://read.oecd-ilibrary.org/agriculture-and-food/pomegranate_9789264206700-en-fr#page2</t>
  </si>
  <si>
    <t>Sets OECD classification requirements for pomegranate grenade; international; not legally binding.</t>
  </si>
  <si>
    <t>Pomegranates may be sized by count, diameter or weight or in accordance with existing commercial trading practices.</t>
  </si>
  <si>
    <t>https://read.oecd-ilibrary.org/agriculture-and-food/pomegranate_9789264206700-en-fr#page3</t>
  </si>
  <si>
    <t>Sets OECD sizing requirements for pomegranate grenade; international; not legally binding.</t>
  </si>
  <si>
    <t>i) “Extra” Class
Five percent by number or weight of pomegranates not satisfying the
requirements of the class, but meeting those of Class I or, exceptionally, coming within the tolerances of that class.
ii) Class I
Ten percent by number or weight of pomegranates not satisfying the
requirements of the class, but meeting those of Class II or, exceptionally, coming within the tolerances of that class.Ten percent by number or weight of pomegranates satisfying neither the requirements of the class nor the minimum requirements, with the exception of produce affected by rotting or any other deterioration rendering it unfit for consumption.</t>
  </si>
  <si>
    <t>https://read.oecd-ilibrary.org/agriculture-and-food/pomegranate_9789264206700-en-fr#page4</t>
  </si>
  <si>
    <t>Sets OECD quality tolerances requirements for pomegranate grenade; international; not legally binding.</t>
  </si>
  <si>
    <t>For all classes, ten percent by number or weight of pomegranates
corresponding to the size immediately above and/or below that indicated on the package.</t>
  </si>
  <si>
    <t>https://read.oecd-ilibrary.org/agriculture-and-food/pomegranate_9789264206700-en-fr#page5</t>
  </si>
  <si>
    <t>Sets OECD size tolerances requirements for pomegranate grenade; international; not legally binding.</t>
  </si>
  <si>
    <t>The contents of each package must be uniform and contain only pomegranates of the same origin, variety, quality and size (if sized).</t>
  </si>
  <si>
    <t>https://read.oecd-ilibrary.org/agriculture-and-food/pomegranate_9789264206700-en-fr#page6</t>
  </si>
  <si>
    <t>Sets OECD uniformity requirements for pomegranate grenade; international; not legally binding.</t>
  </si>
  <si>
    <t>Pomegranates must be packed in such a way as to protect the produce properly.</t>
  </si>
  <si>
    <t>https://read.oecd-ilibrary.org/agriculture-and-food/pomegranate_9789264206700-en-fr#page7</t>
  </si>
  <si>
    <t>Sets OECD packaging requirements for pomegranate grenade; international; not legally binding.</t>
  </si>
  <si>
    <t>https://read.oecd-ilibrary.org/agriculture-and-food/pomegranate_9789264206700-en-fr#page8</t>
  </si>
  <si>
    <t>Sets OECD marking identification requirements for pomegranate grenade; international; not legally binding.</t>
  </si>
  <si>
    <r>
      <rPr>
        <b/>
        <sz val="12"/>
        <rFont val="Calibri"/>
        <family val="2"/>
        <scheme val="minor"/>
      </rPr>
      <t>International Standards for Fruits and Vegetables - Early and Ware Potatoes (OECD)</t>
    </r>
    <r>
      <rPr>
        <sz val="12"/>
        <rFont val="Calibri"/>
        <family val="2"/>
        <scheme val="minor"/>
      </rPr>
      <t xml:space="preserve">
PROVISIONS CONCERNING QUALITY - Minimum Requirements</t>
    </r>
  </si>
  <si>
    <t>Potatoes</t>
  </si>
  <si>
    <t>In all classes, subject to the special provisions for each class and the tolerances allowed, the potatoes must be: whole, sound, clean, firm,  free of external or internal defects, Free of abnormal external moisture, Free of any foreign smell and/or taste.</t>
  </si>
  <si>
    <t>https://read.oecd-ilibrary.org/agriculture-and-food/early-and-ware-potatoes_9789264068391-en-fr#page1</t>
  </si>
  <si>
    <t>Sets OECD minimum requirements for potatoes; international; not legally binding.</t>
  </si>
  <si>
    <t>Size is determined by square mesh.</t>
  </si>
  <si>
    <t>https://read.oecd-ilibrary.org/agriculture-and-food/early-and-ware-potatoes_9789264068391-en-fr#page2</t>
  </si>
  <si>
    <t>Sets OECD classification requirements for potatoes; international; not legally binding.</t>
  </si>
  <si>
    <t>Tubers must be of: 
- A minimum size such that they do not pass through a square mesh of:
•	 28 mm x 28 mm for early potatoes
•	 35 mm x 35 mm for ware potatoes
•	 30 mm x 30 mm for long varieties of ware potatoes defined hereafter.
—	 A maximum size such that they pass through a square mesh of 80 mm x 80 mm, or for long varieties, of 75 mm x 75 mm.</t>
  </si>
  <si>
    <t>https://read.oecd-ilibrary.org/agriculture-and-food/early-and-ware-potatoes_9789264068391-en-fr#page3</t>
  </si>
  <si>
    <t>Sets OECD sizing requirements for potatoes; international; not legally binding.</t>
  </si>
  <si>
    <t>(i) Tubers not satisfying the minimum requirements shall be allowed:
— 4 per cent by weight of tubers of early potatoes;
— 6 per cent by weight of tubers of ware potatoes.
However, within this tolerance, a maximum of 1 per cent by weight of tubers affected by dry or wet rot shall be allowed.
(ii) In addition, shall be allowed:
— 1 per cent by weight of waste for early potatoes;
— 2 per cent by weight of waste, of which a maximum of 1 per cent attached earth, for ware potatoes.</t>
  </si>
  <si>
    <t>https://read.oecd-ilibrary.org/agriculture-and-food/early-and-ware-potatoes_9789264068391-en-fr#page4</t>
  </si>
  <si>
    <t>Sets OECD quality tolerances requirements for potatoes; international; not legally binding.</t>
  </si>
  <si>
    <t>Five percent by	weight of	tubers not satisfying	the requirements as regards sizing and if	sized, above and/or	below the	size range indicated shall be allowed.</t>
  </si>
  <si>
    <t>https://read.oecd-ilibrary.org/agriculture-and-food/early-and-ware-potatoes_9789264068391-en-fr#page5</t>
  </si>
  <si>
    <t>Sets OECD size tolerances requirements for potatoes; international; not legally binding.</t>
  </si>
  <si>
    <t>PROVISIONS CONCERNING TOLERANCES - Tolerances of other varieties</t>
  </si>
  <si>
    <t>Two per cent by weight of other varieties in each lot shall be allowed.</t>
  </si>
  <si>
    <t>https://read.oecd-ilibrary.org/agriculture-and-food/early-and-ware-potatoes_9789264068391-en-fr#page6</t>
  </si>
  <si>
    <t>Sets OECD tolerances of other varieties requirements for potatoes; international; not legally binding.</t>
  </si>
  <si>
    <t xml:space="preserve">The contents of each package (or lot for produce presented in bulk in containers) must be uniform and contain only early or ware potatoes of the same origin, variety, quality, colour of the skin, colour of the flesh and size (if sized).	</t>
  </si>
  <si>
    <t>https://read.oecd-ilibrary.org/agriculture-and-food/early-and-ware-potatoes_9789264068391-en-fr#page7</t>
  </si>
  <si>
    <t>Sets OECD uniformity requirements for potatoes; international; not legally binding.</t>
  </si>
  <si>
    <t>Early and ware potatoes must be packed in such a way as to protect the produce properly and to ensure adequate ventilation.</t>
  </si>
  <si>
    <t>https://read.oecd-ilibrary.org/agriculture-and-food/early-and-ware-potatoes_9789264068391-en-fr#page8</t>
  </si>
  <si>
    <t>Sets OECD packaging requirements for potatoes; international; not legally binding.</t>
  </si>
  <si>
    <t>PROVISIONS CONCERNING PRESENTATION - Presentation</t>
  </si>
  <si>
    <t>Early and ware potatoes must be packed in appropriate packages. The potatoes may be packed in bulk containers, which take into account the characteristics of the produce.</t>
  </si>
  <si>
    <t>https://read.oecd-ilibrary.org/agriculture-and-food/early-and-ware-potatoes_9789264068391-en-fr#page9</t>
  </si>
  <si>
    <t>Sets OECD presentation requirements for potatoes; international; not legally binding.</t>
  </si>
  <si>
    <t>https://read.oecd-ilibrary.org/agriculture-and-food/early-and-ware-potatoes_9789264068391-en-fr#page10</t>
  </si>
  <si>
    <t>Sets OECD marking identification requirements for potatoes; international; not legally binding.</t>
  </si>
  <si>
    <r>
      <rPr>
        <b/>
        <sz val="12"/>
        <rFont val="Calibri"/>
        <family val="2"/>
        <scheme val="minor"/>
      </rPr>
      <t>International Standards for Fruits and Vegetables - Root and Tubercle Vegetables (OECD)</t>
    </r>
    <r>
      <rPr>
        <sz val="12"/>
        <rFont val="Calibri"/>
        <family val="2"/>
        <scheme val="minor"/>
      </rPr>
      <t xml:space="preserve">
PROVISIONS CONCERNING QUALITY - Minimum Requirements</t>
    </r>
  </si>
  <si>
    <t>Root and Tubercle Vegetables</t>
  </si>
  <si>
    <t>In all classes, subject to the special provisions for each class and the tolerances allowed, the root and tubercle vegetables must be: intact, sound, clean, free from pests, damage, fresh in appearance and firm, free of discoloration of the flesh such as grey or black streaks, not forked, free of secondary root growth, not hollow, not woody, fibrous or spongy, free of abnormal external moisture, free of any foreign smell and/or taste.</t>
  </si>
  <si>
    <t>https://www.oecd-ilibrary.org/docserver/860574df-en-fr.pdf?expires=1714685131&amp;id=id&amp;accname=guest&amp;checksum=CD4C1445CF68EB45B9C0F10461F10A2D</t>
  </si>
  <si>
    <t>Sets OECD minimum requirements for root and tubercle vegetables; international; not legally binding.</t>
  </si>
  <si>
    <t>Root and tubercle vegetables are classified in two classes, as defined: Class I, Class II.</t>
  </si>
  <si>
    <t>Sets OECD classification requirements for root and tubercle vegetables; international; not legally binding.</t>
  </si>
  <si>
    <t>i) Class I
A total tolerance of 10 percent, by number or weight, of root and tubercle vegetables not satisfying the requirements of the class but meeting those of Class II is allowed.
ii) Class II
A total tolerance of 10 percent, by number or weight, of root and tubercle vegetables satisfying neither the requirements of the class nor the minimum requirements is allowed.</t>
  </si>
  <si>
    <t>Sets OECD quality tolerances requirements for root and tubercle vegetables; international; not legally binding.</t>
  </si>
  <si>
    <t>The contents of each package must be uniform and contain only root or tubercle vegetables of the same origin, variety or commercial type and quality. Root and tubercle vegetables in Class I must be uniform in shape and colouring. In case of presentation in bundles, the number of roots per bundle must be uniform within the package.</t>
  </si>
  <si>
    <t>Sets OECD uniformity requirements for root and tubercle vegetables; international; not legally binding.</t>
  </si>
  <si>
    <t>Root and tubercle vegetables must be packed in  such a way as to protect the produce properly.</t>
  </si>
  <si>
    <t>Sets OECD packaging requirements for root and tubercle vegetables; international; not legally binding.</t>
  </si>
  <si>
    <t>Sets OECD marking identification requirements for root and tubercle vegetables; international; not legally binding.</t>
  </si>
  <si>
    <r>
      <rPr>
        <b/>
        <sz val="12"/>
        <rFont val="Calibri"/>
        <family val="2"/>
        <scheme val="minor"/>
      </rPr>
      <t>International Standards for Fruits and Vegetables - Shallots (OECD)</t>
    </r>
    <r>
      <rPr>
        <sz val="12"/>
        <rFont val="Calibri"/>
        <family val="2"/>
        <scheme val="minor"/>
      </rPr>
      <t xml:space="preserve">
PROVISIONS CONCERNING QUALITY - Minimum Requirements</t>
    </r>
  </si>
  <si>
    <t>Shallots</t>
  </si>
  <si>
    <t>In all classes, subject to the special provisions for each class and the tolerances allowed, the shallots must be: intact, sound, clean, free from pests, damage, without hollow or tough stems, Free from traces of mould, Free of externally visible shoot growth, Free of abnormal external moisture, Free of any foreign smell and/or taste</t>
  </si>
  <si>
    <t>https://read.oecd-ilibrary.org/agriculture-and-food/shallots_9789264213265-en-fr#page1</t>
  </si>
  <si>
    <t>Sets OECD minimum requirements for shallots; international; not legally binding.</t>
  </si>
  <si>
    <t>Shallots are classified in two classes, as defined: Class I, Class II.</t>
  </si>
  <si>
    <t>https://read.oecd-ilibrary.org/agriculture-and-food/shallots_9789264213265-en-fr#page2</t>
  </si>
  <si>
    <t>Sets OECD classification requirements for shallots; international; not legally binding.</t>
  </si>
  <si>
    <t>https://read.oecd-ilibrary.org/agriculture-and-food/shallots_9789264213265-en-fr#page3</t>
  </si>
  <si>
    <t>Sets OECD sizing requirements for shallots; international; not legally binding.</t>
  </si>
  <si>
    <t>i) Class I
A total tolerance of 10 percent, by number or weight, of shallots not satisfying the requirements of the class but meeting those of Class II is allowed.
ii) Class II
A total tolerance of 10 percent, by number or weight, of shallot satisfying neither the requirements of the class nor the minimum requirements is allowed.</t>
  </si>
  <si>
    <t>https://read.oecd-ilibrary.org/agriculture-and-food/shallots_9789264213265-en-fr#page4</t>
  </si>
  <si>
    <t>Sets OECD quality tolerances requirements for shallots; international; not legally binding.</t>
  </si>
  <si>
    <t>For all classes: A total tolerance of 10 percent, by number or weight, of shallots not satisfying the requirements as regards sizing is allowed.</t>
  </si>
  <si>
    <t>https://read.oecd-ilibrary.org/agriculture-and-food/shallots_9789264213265-en-fr#page5</t>
  </si>
  <si>
    <t>Sets OECD size tolerances requirements for shallots; international; not legally binding.</t>
  </si>
  <si>
    <t>The contents of each package must be uniform and contain only shallots of the same origin, variety or commercial type, quality and size.</t>
  </si>
  <si>
    <t>https://read.oecd-ilibrary.org/agriculture-and-food/shallots_9789264213265-en-fr#page6</t>
  </si>
  <si>
    <t>Sets OECD uniformity requirements for shallots; international; not legally binding.</t>
  </si>
  <si>
    <t>Shallots must be packed in such a way as to protect the produce properly.</t>
  </si>
  <si>
    <t>https://read.oecd-ilibrary.org/agriculture-and-food/shallots_9789264213265-en-fr#page7</t>
  </si>
  <si>
    <t>Sets OECD packaging requirements for shallots; international; not legally binding.</t>
  </si>
  <si>
    <t>https://read.oecd-ilibrary.org/agriculture-and-food/shallots_9789264213265-en-fr#page8</t>
  </si>
  <si>
    <t>Sets OECD marking identification requirements for shallots; international; not legally binding.</t>
  </si>
  <si>
    <r>
      <rPr>
        <b/>
        <sz val="12"/>
        <rFont val="Calibri"/>
        <family val="2"/>
        <scheme val="minor"/>
      </rPr>
      <t>International Standards for Fruits and Vegetables - Watermelons (OECD)</t>
    </r>
    <r>
      <rPr>
        <sz val="12"/>
        <rFont val="Calibri"/>
        <family val="2"/>
        <scheme val="minor"/>
      </rPr>
      <t xml:space="preserve">
PROVISIONS CONCERNING QUALITY - Minimum Requirements</t>
    </r>
  </si>
  <si>
    <t>Watermelons</t>
  </si>
  <si>
    <t>In all classes, subject to the special provisions for each class and the tolerances allowed, the watermelons must be: intact, sound, clean, free from pests, damage, free of abnormal external moisture, free of foreign smell and/or taste.</t>
  </si>
  <si>
    <t>https://read.oecd-ilibrary.org/agriculture-and-food/watermelons_9789264178960-en-fr</t>
  </si>
  <si>
    <t>Sets OECD minimum requirements for watermelons; international; not legally binding.</t>
  </si>
  <si>
    <t>The watermelons are classified in two classes, as defined: Class I, Class II.</t>
  </si>
  <si>
    <t>Sets OECD classification requirements for watermelons; international; not legally binding.</t>
  </si>
  <si>
    <t xml:space="preserve">The watermelons must be sufficiently developed and display satisfactory ripeness. The colour and taste of the flesh should conform to a sufficient state of ripeness. </t>
  </si>
  <si>
    <t>Sets OECD maturity requirements for watermelons; international; not legally binding.</t>
  </si>
  <si>
    <t>Size is determined by weight per unit.</t>
  </si>
  <si>
    <t>Sets OECD sizing requirements for watermelons; international; not legally binding.</t>
  </si>
  <si>
    <t>i) Class I
A total tolerance of 10 percent, by number or weight, of watermelons not satisfying the requirements of the class but meeting those of Class II is allowed. 
ii) Class II
A total tolerance of 10 percent, by number or weight, of watermelons
satisfying neither the requirements of the class nor the minimum requirements is allowed.</t>
  </si>
  <si>
    <t>Sets OECD quality tolerances requirements for watermelons; international; not legally binding.</t>
  </si>
  <si>
    <t>For all classes (if sized): a total tolerance of 10 percent, by number or weight, of watermelons not satisfying the requirements as regards sizing is allowed.</t>
  </si>
  <si>
    <t>Sets OECD size tolerances requirements for watermelons; international; not legally binding.</t>
  </si>
  <si>
    <t>The contents of each package (or lot for produce presented in bulk in the transport vehicle) must be uniform and contain only watermelons of the same origin, variety, quality and size (if sized).</t>
  </si>
  <si>
    <t>Sets OECD uniformity requirements for watermelons; international; not legally binding.</t>
  </si>
  <si>
    <t>The watermelons must be packed in such a way as to protect the produce properly.</t>
  </si>
  <si>
    <t>Sets OECD packaging requirements for watermelons; international; not legally binding.</t>
  </si>
  <si>
    <t>Sets OECD marking identification requirements for watermelons; international; not legally binding.</t>
  </si>
  <si>
    <r>
      <rPr>
        <b/>
        <sz val="12"/>
        <rFont val="Calibri"/>
        <family val="2"/>
        <scheme val="minor"/>
      </rPr>
      <t>International Standards for Fruits and Vegetables - Apricots (OECD)</t>
    </r>
    <r>
      <rPr>
        <sz val="12"/>
        <rFont val="Calibri"/>
        <family val="2"/>
        <scheme val="minor"/>
      </rPr>
      <t xml:space="preserve">
PROVISIONS CONCERNING QUALITY - Minimum Requirements</t>
    </r>
  </si>
  <si>
    <t>Apricots</t>
  </si>
  <si>
    <t>In all classes, subject to the special provisions for each class and the tolerances allowed, the apricots must be: intact, sound, clean, free from pests,  damage, free of abnormal external moisture, free of any foreign smell and/or taste.</t>
  </si>
  <si>
    <t>https://www.oecd.org/agriculture/fruit-vegetables/publications/brochures/apricots-9789264084902-en-fr.htm</t>
  </si>
  <si>
    <t>Sets OECD minimum requirements for apricots; international; not legally binding.</t>
  </si>
  <si>
    <t>Apricots are classified in three classes, as defined: “Extra” Class, Class I, Class II.</t>
  </si>
  <si>
    <t>Sets OECD classification requirements for apricots; international; not legally binding.</t>
  </si>
  <si>
    <t>The development and state of maturity of the apricots must be such as to enable them to continue their ripening process and to reach a satisfactory degree of ripeness. The colour characteristic of the variety, turning from the background colour, must be present on at least 30 per cent of the least ripe fruit surface.</t>
  </si>
  <si>
    <t>Sets OECD maturity requirements for apricots; international; not legally binding.</t>
  </si>
  <si>
    <t>Size is determined by the maximum diameter of the equatorial section. Sizing is compulsory for Classes “Extra” and Class I.</t>
  </si>
  <si>
    <t>Sets OECD sizing requirements for apricots; international; not legally binding.</t>
  </si>
  <si>
    <t>i) “Extra” Class
A total tolerance of 5 percent, by number or weight, of apricots not satisfying the requirements of the class but meeting those of Class I is allowed.
ii) Class I
A total tolerance of 10 percent, by number or weight, of apricots not satisfying the requirements of the class but meeting those of Class II is allowed.
iii) Class II
A total tolerance of 10 percent, by number or weight, of apricots satisfying neither the requirements of the class nor the minimum requirements is allowed.</t>
  </si>
  <si>
    <t>Sets OECD quality tolerances requirements for apricots; international; not legally binding.</t>
  </si>
  <si>
    <t>For all classes (if sized): A total tolerance of 10 percent,  by number or weight, of apricots deviating up to 3 mm from the size indicated is allowed.</t>
  </si>
  <si>
    <t>Sets OECD size tolerances requirements for apricots; international; not legally binding.</t>
  </si>
  <si>
    <t>The contents of each package must be uniform and contain only apricots of the same origin, variety, quality and size (if sized), and, for “Extra” Class, be uniform in colouring.</t>
  </si>
  <si>
    <t>Sets OECD uniformity requirements for apricots; international; not legally binding.</t>
  </si>
  <si>
    <t>The apricots must be packed in such a way as to protect the produce properly.</t>
  </si>
  <si>
    <t>Sets OECD packaging requirements for apricots; international; not legally binding.</t>
  </si>
  <si>
    <t>Sets OECD marking identification requirements for apricots; international; not legally binding.</t>
  </si>
  <si>
    <r>
      <rPr>
        <b/>
        <sz val="12"/>
        <rFont val="Calibri"/>
        <family val="2"/>
        <scheme val="minor"/>
      </rPr>
      <t>International Standards for Fruits and Vegetables - Asparagus (OECD)</t>
    </r>
    <r>
      <rPr>
        <sz val="12"/>
        <rFont val="Calibri"/>
        <family val="2"/>
        <scheme val="minor"/>
      </rPr>
      <t xml:space="preserve">
PROVISIONS CONCERNING QUALITY - Minimum Requirements</t>
    </r>
  </si>
  <si>
    <t>Asparagus</t>
  </si>
  <si>
    <t>In all classes, subject to the special provisions for each class and the tolerances allowed, the asparagus must be: intact, sound, clean, fresh in appearance and fresh-smelling, practically free from pests, free from damage, practically unbruised, free of foreign smell and/or taste.</t>
  </si>
  <si>
    <t>https://read.oecd-ilibrary.org/agriculture-and-food/international-standards-for-fruit-and-vegetables_9789264116351-en-fr#page1</t>
  </si>
  <si>
    <t>Sets OECD minimum requirements for asparagus; international; not legally binding.</t>
  </si>
  <si>
    <t>Asparagus are classified in three classes, as defined: “Extra” Class, Class I, Class II.</t>
  </si>
  <si>
    <t>https://read.oecd-ilibrary.org/agriculture-and-food/international-standards-for-fruit-and-vegetables_9789264116351-en-fr#page2</t>
  </si>
  <si>
    <t>Sets OECD classification requirements for asparagus; international; not legally binding.</t>
  </si>
  <si>
    <t>Size is determined by the length and diameter of the shoot.</t>
  </si>
  <si>
    <t>https://read.oecd-ilibrary.org/agriculture-and-food/international-standards-for-fruit-and-vegetables_9789264116351-en-fr#page3</t>
  </si>
  <si>
    <t>Sets OECD sizing requirements for asparagus; international; not legally binding.</t>
  </si>
  <si>
    <t>i) “Extra” Class A total tolerance of 5 percent, by number or weight, of asparagus not satisfying the requirements of the class but meeting those of Class I or having slight unscarred cracks appearing after harvesting is allowed.
ii) Class I
A total tolerance of 10 percent, by number or weight, of asparagus not satisfying the requirements of the class, but meeting those of Class II or having slight unscarred cracks appearing after harvesting is allowed.
iii) Class II
A total tolerance of 10 percent, by number or weight, of asparagus satisfying neither the requirements of the class nor the minimum requirements is allowed.</t>
  </si>
  <si>
    <t>https://read.oecd-ilibrary.org/agriculture-and-food/international-standards-for-fruit-and-vegetables_9789264116351-en-fr#page4</t>
  </si>
  <si>
    <t>Sets OECD quality tolerances requirements for asparagus; international; not legally binding.</t>
  </si>
  <si>
    <t>For all classes (if sized): A total tolerance of 10 percent, by number or weight, of asparagus not satisfying the requirements as regards sizing and deviating from the specified limits with a maximum deviation of 1 cm in length and 2 mm in diameter is allowed.</t>
  </si>
  <si>
    <t>https://read.oecd-ilibrary.org/agriculture-and-food/international-standards-for-fruit-and-vegetables_9789264116351-en-fr#page5</t>
  </si>
  <si>
    <t>Sets OECD size tolerances requirements for asparagus; international; not legally binding.</t>
  </si>
  <si>
    <t>The contents of each package (or each bundle in the same package) 
must be uniform and contain only asparagus of the same origin, quality, colour group and size (if sized).</t>
  </si>
  <si>
    <t>https://read.oecd-ilibrary.org/agriculture-and-food/international-standards-for-fruit-and-vegetables_9789264116351-en-fr#page6</t>
  </si>
  <si>
    <t>Sets OECD uniformity requirements for asparagus; international; not legally binding.</t>
  </si>
  <si>
    <t>Asparagus must be packed in such a way as to protect the produce properly.</t>
  </si>
  <si>
    <t>https://read.oecd-ilibrary.org/agriculture-and-food/international-standards-for-fruit-and-vegetables_9789264116351-en-fr#page7</t>
  </si>
  <si>
    <t>Sets OECD packaging requirements for asparagus; international; not legally binding.</t>
  </si>
  <si>
    <t>https://read.oecd-ilibrary.org/agriculture-and-food/international-standards-for-fruit-and-vegetables_9789264116351-en-fr#page8</t>
  </si>
  <si>
    <t>Sets OECD marking identification requirements for asparagus; international; not legally binding.</t>
  </si>
  <si>
    <r>
      <rPr>
        <b/>
        <sz val="12"/>
        <rFont val="Calibri"/>
        <family val="2"/>
        <scheme val="minor"/>
      </rPr>
      <t>International Standards for Fruits and Vegetables - Avocados (OECD)</t>
    </r>
    <r>
      <rPr>
        <sz val="12"/>
        <rFont val="Calibri"/>
        <family val="2"/>
        <scheme val="minor"/>
      </rPr>
      <t xml:space="preserve">
PROVISIONS CONCERNING QUALITY - Minimum Requirements</t>
    </r>
  </si>
  <si>
    <t>Avocados</t>
  </si>
  <si>
    <t>In all classes, subject to the special provisions for each class and the tolerances allowed, the avocados must be: intact, sound, clean, free from pests, damage, free of abnormal external moisture, free of any foreign smell and/or taste.</t>
  </si>
  <si>
    <t>https://read.oecd-ilibrary.org/agriculture-and-food/avocados_44a6e19b-en-fr-es</t>
  </si>
  <si>
    <t>Sets OECD minimum requirements for avocado; international; not legally binding.</t>
  </si>
  <si>
    <t>Avocados are classified in three classes, as defined: “Extra” Class, Class I, Class II.</t>
  </si>
  <si>
    <t>Sets OECD classification requirements for avocado; international; not legally binding.</t>
  </si>
  <si>
    <t>The development and state of maturity of the avocados must be such as to enable them to continue their ripening process and to reach a satisfactory degree of ripeness.</t>
  </si>
  <si>
    <t>Sets OECD maturity requirements for avocado; international; not legally binding.</t>
  </si>
  <si>
    <t>Size is determined by the weight or count of the fruit.</t>
  </si>
  <si>
    <t>Sets OECD sizing requirements for avocado; international; not legally binding.</t>
  </si>
  <si>
    <t>i) “Extra” Class A total tolerance of 5 percent, by number or weight, of avocados not satisfying the requirements of the class but meeting those of Class I is allowed.
ii) Class I
A total tolerance of 10 percent, by number or weight, of avocados not satisfying the requirements of the class but meeting those of Class II is allowed.
iii) Class II
A total tolerance of 10 percent, by number or weight, of avocados satisfying neither the requirements of the class nor the minimum requirements is allowed.</t>
  </si>
  <si>
    <t>Sets OECD quality tolerances requirements for avocado; international; not legally binding.</t>
  </si>
  <si>
    <t>For all classes: A total tolerance of 10 percent, by number or weight, of avocados not satisfying the requirements as regards sizing is allowed.</t>
  </si>
  <si>
    <t>Sets OECD size tolerances requirements for avocado; international; not legally binding.</t>
  </si>
  <si>
    <t xml:space="preserve">The contents of each package must be uniform and contain only avocados of the same  origin, variety, quality, colouring and size. The visible part of the contents of the package. </t>
  </si>
  <si>
    <t>Sets OECD uniformity requirements for avocado; international; not legally binding.</t>
  </si>
  <si>
    <t>The avocados must be packed in such a way as to protect the produce properly.</t>
  </si>
  <si>
    <t>Sets OECD packaging requirements for avocado; international; not legally binding.</t>
  </si>
  <si>
    <t>Sets OECD marking identification requirements for avocado; international; not legally binding.</t>
  </si>
  <si>
    <r>
      <rPr>
        <b/>
        <sz val="12"/>
        <rFont val="Calibri"/>
        <family val="2"/>
        <scheme val="minor"/>
      </rPr>
      <t>International Standards for Fruits and Vegetables - Bananas (OECD)</t>
    </r>
    <r>
      <rPr>
        <sz val="12"/>
        <rFont val="Calibri"/>
        <family val="2"/>
        <scheme val="minor"/>
      </rPr>
      <t xml:space="preserve">
PROVISIONS CONCERNING QUALITY - Minimum Requirements</t>
    </r>
  </si>
  <si>
    <t>In all classes, subject to the special provisions for each class and the tolerances allowed, the bananas must be: whole, sound, clean, free from pests, damage, free of abnormal external moisture, free of any foreign smell and/or taste, firm, free of bruises, free of malformation or abnormal curvature of the fingers, with pistils removed, with the stalk intact, without bending, fungal damage or desiccation
hands and clusters must include: a sufficient portion of the crown of normal colouring, sound and free of fungal contamination and a cleanly cut crown, not bevelled or torn, with no stalk fragments.</t>
  </si>
  <si>
    <t>https://www.oecd.org/agriculture/fruit-vegetables/publications/brochures/oecd-explanatory-brochure-on-bananas-brochure-interpretative-ocde-pour-les-bananes.pdf</t>
  </si>
  <si>
    <t>Sets OECD minimum requirements for bananas; international; not legally binding.</t>
  </si>
  <si>
    <t>PROVISIONS CONCERNING QUALITY - Minimum Requirements</t>
  </si>
  <si>
    <t>The requirement from the CODEX standard to have a minimum of four fingers by hand or cluster.</t>
  </si>
  <si>
    <t>They tend to prevent food waste.</t>
  </si>
  <si>
    <t>Bananas are classified in three classes, as defined: "Extra" Class, Class I, Class II</t>
  </si>
  <si>
    <t>Sets OECD classification requirements for bananas; international; not legally binding.</t>
  </si>
  <si>
    <t>For the purposes of sizing bananas of the Gros Michel and Cavendish sub-groups,  the length of the fingers is determined along the outside curve from the blossom end to the base of the pedicel where the edible pulp ends and the diameter is defined as the thickness of a transverse section between the lateral faces. The reference fruit for measurement of the length and grade is: for hands, the median finger on the outer row of the hand; or clusters, the finger next to the cut section of the hand, on the outer row of the cluster.</t>
  </si>
  <si>
    <t>Sets OECD sizing requirements for bananas; international; not legally binding.</t>
  </si>
  <si>
    <t>i) "Extra" Class Five percent by number or weight of bananas not satisfying the requirements of the class, but meeting those of Class I or, exceptionally, coming within the tolerances of that class.
ii) Class I
Ten percent by number or weight of bananas not satisfying the requirements of the class, but meeting those of Class II or, exceptionally, coming within the tolerances of that class.
iii) Class II
Ten percent by number or weight of bananas satisfying neither the requirements of the class nor the minimum requirements, with the exception of produce affected by rotting, major imperfections or any other deterioration rendering it unfit for consumption.</t>
  </si>
  <si>
    <t>Sets OECD quality tolerances requirements for bananas; international; not legally binding.</t>
  </si>
  <si>
    <t>For all classes: Ten percent by number or weight of bananas not satisfying the requirements as regards sizing.</t>
  </si>
  <si>
    <t>Sets OECD size tolerances requirements for bananas; international; not legally binding.</t>
  </si>
  <si>
    <t>The contents of each package must be uniform and contain only bananas of the same origin, variety and quality.</t>
  </si>
  <si>
    <t>Sets OECD uniformity requirements for bananas; international; not legally binding.</t>
  </si>
  <si>
    <t>Bananas must be packed in such a way as to protect the produce properly.</t>
  </si>
  <si>
    <t>Sets OECD packaging requirements for bananas; international; not legally binding.</t>
  </si>
  <si>
    <t>Each package must bear the following particulars: 
A. Nature of produce
B. Identification
C. Origin of produce
D. Commercial specifications
E. Consumer packages
F. Non-retail containers
G. Official Inspection Mark (optional)
H. Net weight (optional).</t>
  </si>
  <si>
    <t>Sets OECD marking identification requirements for bananas; international; not legally binding.</t>
  </si>
  <si>
    <t>DESCRIPTION OF CONTAINERS</t>
  </si>
  <si>
    <t>The containers shall meet the quality, hygiene, ventilation and 
resistance characteristics to ensure suitable handling, shipping and preserving of the bananas. Packages must be free of all foreign matter and smell.</t>
  </si>
  <si>
    <t>Sets OECD containers description requirements for   bananas; international; not legally binding.</t>
  </si>
  <si>
    <t>PRESENTATION</t>
  </si>
  <si>
    <t>The bananas must be presented in hands and clusters (parts of hands) of at least four fingers. Bananas may also be presented as single fingers; clusters with no more than two missing fingers are allowed, provided the stalk is not torn but cleanly cut, without damage to the neighbouring fingers; not more than one cluster of three fingers with the same characteristics as the other fruit in the package may be present per row.</t>
  </si>
  <si>
    <t>Sets OECD presentation requirements for bananas; international; not legally binding.</t>
  </si>
  <si>
    <t>CONTAMINANTS - Heavy Metals</t>
  </si>
  <si>
    <t>Bananas shall comply with those maximum levels for heavy metals established by the  Codex Alimentarius Commission for this commodity.</t>
  </si>
  <si>
    <t>Sets OECD heavy metals requirements for bananas; international; not legally binding.</t>
  </si>
  <si>
    <t>CONTAMINANTS - Pesticides</t>
  </si>
  <si>
    <t>Bananas shall comply with those maximum pesticide residue limits 
established by the Codex Alimentarius Commission for this commodity.</t>
  </si>
  <si>
    <t>Sets OECD pesticide residues requirements for bananas; international; not legally binding.</t>
  </si>
  <si>
    <t>HYGIENE</t>
  </si>
  <si>
    <t>It is recommended that the produce covered by the provisions of this standard be prepared and handled in accordance with the appropriate sections.</t>
  </si>
  <si>
    <t>Sets OECD hygiene requirements for bananas; international; not legally binding.</t>
  </si>
  <si>
    <r>
      <rPr>
        <b/>
        <sz val="12"/>
        <rFont val="Calibri"/>
        <family val="2"/>
        <scheme val="minor"/>
      </rPr>
      <t>International Standards for Fruits and Vegetables - Beans (OECD)</t>
    </r>
    <r>
      <rPr>
        <sz val="12"/>
        <rFont val="Calibri"/>
        <family val="2"/>
        <scheme val="minor"/>
      </rPr>
      <t xml:space="preserve">
PROVISIONS CONCERNING QUALITY - Minimum Requirements</t>
    </r>
  </si>
  <si>
    <t>Beans</t>
  </si>
  <si>
    <t>In all classes, subject to the special provisions for each class and the tolerances allowed, the produce must be: intact, sound, clean, fresh in appearance, free from parchment, free from pests, free from damage, free of abnormal external moisture, free of any foreign smell and/or taste.</t>
  </si>
  <si>
    <t>https://read.oecd-ilibrary.org/agriculture-and-food/beans_0bc40eec-en-fr</t>
  </si>
  <si>
    <t>Sets OECD minimum requirements for beans; international; not legally binding.</t>
  </si>
  <si>
    <t>Beans are classified in three classes, as defined: Extra Class, Class I, Class II.</t>
  </si>
  <si>
    <t>Sets OECD classification requirements for beans; international; not legally binding.</t>
  </si>
  <si>
    <t>Size is determined by the maximum width of the pod measured at right angles to the seam.</t>
  </si>
  <si>
    <t>Sets OECD sizing requirements for beans; international; not legally binding.</t>
  </si>
  <si>
    <t>i) Extra Class A total tolerance of 5 percent, by number or weight, of beans not satisfying the requirements of the class but meeting those of Class I is allowed.
ii) Class I
A total tolerance of 10 percent, by number or weight, of beans not satisfying the requirements of the class but meeting those of Class II is allowed.
iii) Class II
A total tolerance of 10 percent, by number or weight, of beans satisfying neither the requirements of the class nor the minimum requirements is allowed.</t>
  </si>
  <si>
    <t>Sets OECD quality tolerances requirements for beans; international; not legally binding.</t>
  </si>
  <si>
    <t>For all classes (if sized): A total tolerance of 10 percent, by number or weight, of beans not satisfying the requirements as regards sizing is allowed.</t>
  </si>
  <si>
    <t>Sets OECD size tolerances requirements for beans; international; not legally binding.</t>
  </si>
  <si>
    <t>The contents of each package must be uniform and contain only beans of the same origin, variety or commercial type, quality and size (if sized).</t>
  </si>
  <si>
    <t>Sets OECD uniformity requirements for beans; international; not legally binding.</t>
  </si>
  <si>
    <t>Beans must be packed in such a way as to protect the produce properly.</t>
  </si>
  <si>
    <t>Sets OECD packaging requirements for beans; international; not legally binding.</t>
  </si>
  <si>
    <t>Each package must bear the following particulars: 
A. Identification
B. Nature of produce
C. Origin of produce
D. Commercial specifications</t>
  </si>
  <si>
    <t>Sets OECD marking identification requirements for beans; international; not legally binding.</t>
  </si>
  <si>
    <r>
      <rPr>
        <b/>
        <sz val="12"/>
        <rFont val="Calibri"/>
        <family val="2"/>
        <scheme val="minor"/>
      </rPr>
      <t>International Standards for Fruits and Vegetables - Broccoli (OECD)</t>
    </r>
    <r>
      <rPr>
        <sz val="12"/>
        <rFont val="Calibri"/>
        <family val="2"/>
        <scheme val="minor"/>
      </rPr>
      <t xml:space="preserve">
PROVISIONS CONCERNING QUALITY - Minimum Requirements</t>
    </r>
  </si>
  <si>
    <t>Broccoli</t>
  </si>
  <si>
    <t>In all classes, subject to the special provisions for each class and the tolerances, free from pests,  free from damage, free of abnormal external moisture, free of any foreign smell and/or taste
allowed, broccoli must be: intact, sound, clean, fresh in appearance.</t>
  </si>
  <si>
    <t>https://read.oecd-ilibrary.org/agriculture-and-food/broccoli_9789264188822-en-fr</t>
  </si>
  <si>
    <t>Sets OECD minimum requirements for broccoli; international; not legally binding.</t>
  </si>
  <si>
    <t>Broccoli is classified in two classes, as defined: Class I, Class II.</t>
  </si>
  <si>
    <t>Sets OECD classification requirements for broccoli; international; not legally binding.</t>
  </si>
  <si>
    <t>Size is determined either by the diameter of the floral stem at the cut end or by the maximum diameter of the head.</t>
  </si>
  <si>
    <t>Sets OECD sizing requirements for broccoli; international; not legally binding.</t>
  </si>
  <si>
    <t>(i) Class I A total tolerance of 10 per cent, by number or weight, of broccoli not satisfying the requirements of the class but meeting those of Class II is allowed.
(ii) Class II
A total tolerance of 10 per cent, by number or weight, of broccoli satisfying neither the requirements of the class nor the minimum requirements is allowed.</t>
  </si>
  <si>
    <t>Sets OECD quality tolerances requirements for broccoli; international; not legally binding.</t>
  </si>
  <si>
    <t>For all classes (if sized): A total tolerance of 10 percent, by number or weight, of broccoli not satisfying the requirements as regards sizing is allowed.</t>
  </si>
  <si>
    <t>Sets OECD size tolerances requirements for broccoli; international; not legally binding.</t>
  </si>
  <si>
    <t>The contents of each package must be uniform and contain only broccoli of the same origin, variety or commercial type, quality and size (if sized).</t>
  </si>
  <si>
    <t>Sets OECD uniformity requirements for broccoli; international; not legally binding.</t>
  </si>
  <si>
    <t>Broccoli must be packed in such a way as to protect the produce properly.</t>
  </si>
  <si>
    <t>Sets OECD packaging requirements for broccoli; international; not legally binding.</t>
  </si>
  <si>
    <t>Sets OECD marking identification requirements for broccoli; international; not legally binding.</t>
  </si>
  <si>
    <r>
      <rPr>
        <b/>
        <sz val="12"/>
        <rFont val="Calibri"/>
        <family val="2"/>
        <scheme val="minor"/>
      </rPr>
      <t>International Standards for Fruits and Vegetables - Carrots (OECD)</t>
    </r>
    <r>
      <rPr>
        <sz val="12"/>
        <rFont val="Calibri"/>
        <family val="2"/>
        <scheme val="minor"/>
      </rPr>
      <t xml:space="preserve">
PROVISIONS CONCERNING QUALITY - Minimum Requirements</t>
    </r>
  </si>
  <si>
    <t>The carrots must be: intact, sound, free of any visible foreign matter and of excess dirt and impurities if they are not washed, free from pests and damage caused by pests, firm, not forked, free of secondary roots, not woody, not running to seed, free of abnormal external moisture and of any foreign smell and/or taste.</t>
  </si>
  <si>
    <t>https://read.oecd-ilibrary.org/agriculture-and-food/carrots_9789264081871-en-fr#page1</t>
  </si>
  <si>
    <t>Sets OECD minimum requirements for carrots; international; not legally binding.</t>
  </si>
  <si>
    <t>Carrots are classified in three classes, as defined: “Extra” Class, Class I, Class II.</t>
  </si>
  <si>
    <t>https://read.oecd-ilibrary.org/agriculture-and-food/carrots_9789264081871-en-fr#page2</t>
  </si>
  <si>
    <t>Sets OECD classification requirements for carrots; international; not legally binding.</t>
  </si>
  <si>
    <t>Size is determined by the maximum diameter or the weight of the root when without foliage.</t>
  </si>
  <si>
    <t>https://read.oecd-ilibrary.org/agriculture-and-food/carrots_9789264081871-en-fr#page3</t>
  </si>
  <si>
    <t>Sets OECD sizing requirements for carrots; international; not legally binding.</t>
  </si>
  <si>
    <t>i) “Extra” Class
A total tolerance of 5 percent, by number or weight, of carrots not satisfying the requirements of the class but meeting those of Class I is allowed.
ii) Class I
A total tolerance of 10 percent, by number or weight, of carrots not satisfying the requirements of the class but meeting those of Class II is allowed.
iii) Class II
A total tolerance of 10 percent, by number or weight, of carrots satisfying neither the requirements of the class nor the minimum requirements is allowed.</t>
  </si>
  <si>
    <t>https://read.oecd-ilibrary.org/agriculture-and-food/carrots_9789264081871-en-fr#page4</t>
  </si>
  <si>
    <t>Sets OECD quality tolerances requirements for carrots; international; not legally binding.</t>
  </si>
  <si>
    <t>For all classes (if sized): A total tolerance of 10 percent, by number or weight, of carrots not satisfying the requirements as regards sizing is allowed.</t>
  </si>
  <si>
    <t>https://read.oecd-ilibrary.org/agriculture-and-food/carrots_9789264081871-en-fr#page5</t>
  </si>
  <si>
    <t>Sets OECD size tolerances requirements for carrots; international; not legally binding.</t>
  </si>
  <si>
    <t>The contents of each package must be uniform and contain  only carrots of the same origin, variety or varietal type, quality and size (if sized).</t>
  </si>
  <si>
    <t>https://read.oecd-ilibrary.org/agriculture-and-food/carrots_9789264081871-en-fr#page6</t>
  </si>
  <si>
    <t>Sets OECD uniformity requirements for carrots; international; not legally binding.</t>
  </si>
  <si>
    <t>Carrots must be packed in such a way as to protect the produce properly.</t>
  </si>
  <si>
    <t>https://read.oecd-ilibrary.org/agriculture-and-food/carrots_9789264081871-en-fr#page7</t>
  </si>
  <si>
    <t>Sets OECD packaging requirements for carrots; international; not legally binding.</t>
  </si>
  <si>
    <t>https://read.oecd-ilibrary.org/agriculture-and-food/carrots_9789264081871-en-fr#page8</t>
  </si>
  <si>
    <t>Sets OECD marking identification requirements for carrots; international; not legally binding.</t>
  </si>
  <si>
    <r>
      <rPr>
        <b/>
        <sz val="12"/>
        <rFont val="Calibri"/>
        <family val="2"/>
        <scheme val="minor"/>
      </rPr>
      <t>International Standards for Fruits and Vegetables - Chinese cabbage (OECD)</t>
    </r>
    <r>
      <rPr>
        <sz val="12"/>
        <rFont val="Calibri"/>
        <family val="2"/>
        <scheme val="minor"/>
      </rPr>
      <t xml:space="preserve">
PROVISIONS CONCERNING QUALITY - Minimum Requirements</t>
    </r>
  </si>
  <si>
    <t>Chinese cabbage</t>
  </si>
  <si>
    <t>The Chinese cabbage must be: intact, sound, fresh, free from pests and from damage, not running to seed, free of abnormal external moisture and of any foreign smell and/or taste.</t>
  </si>
  <si>
    <t>https://read.oecd-ilibrary.org/agriculture-and-food/chinese-cabbage_9789264248694-en-fr</t>
  </si>
  <si>
    <t>Sets OECD minimum requirements for chinese cabbage; international; not legally binding.</t>
  </si>
  <si>
    <t>Chinese cabbage is classified in two classes, as defined: Class I, Class II.</t>
  </si>
  <si>
    <t>Sets OECD classification requirements for chinese cabbage; international; not legally binding.</t>
  </si>
  <si>
    <t>Size is determined by the weight of the head.</t>
  </si>
  <si>
    <t>Sets OECD sizing requirements for chinese cabbage; international; not legally binding.</t>
  </si>
  <si>
    <t>i) Class I
A total tolerance of 10 percent, by number or weight, of Chinese cabbage not satisfying the requirements of the class, but meeting those of Class II is allowed.
ii) Class II
A total tolerance of 10 percent, by number or weight, of Chinese cabbage satisfying neither the requirements of the class nor the minimum requirements is allowed.</t>
  </si>
  <si>
    <t>Sets OECD quality tolerances requirements for chinese cabbage; international; not legally binding.</t>
  </si>
  <si>
    <t>For all classes: A total tolerance of 10 percent, by number or weight, of Chinese cabbage not satisfying the requirements as regards sizing is allowed.</t>
  </si>
  <si>
    <t>Sets OECD size tolerances requirements for chinese cabbage; international; not legally binding.</t>
  </si>
  <si>
    <t>The contents of each package must be uniform and contain only Chinese cabbage of the same origin, variety or commercial type, quality, and size.</t>
  </si>
  <si>
    <t>Sets OECD uniformity requirements for chinese cabbage; international; not legally binding.</t>
  </si>
  <si>
    <t>Chinese cabbage must be packed in such a way as to protect the produce properly.</t>
  </si>
  <si>
    <t>Sets OECD packaging requirements for chinese cabbage; international; not legally binding.</t>
  </si>
  <si>
    <t>Sets OECD marking identification requirements for chinese cabbage; international; not legally binding.</t>
  </si>
  <si>
    <r>
      <t xml:space="preserve">
</t>
    </r>
    <r>
      <rPr>
        <b/>
        <sz val="12"/>
        <rFont val="Calibri"/>
        <family val="2"/>
        <scheme val="minor"/>
      </rPr>
      <t>International Standards for Fruits and Vegetables - Chicory (OECD)</t>
    </r>
    <r>
      <rPr>
        <sz val="12"/>
        <rFont val="Calibri"/>
        <family val="2"/>
        <scheme val="minor"/>
      </rPr>
      <t xml:space="preserve">
PROVISIONS CONCERNING QUALITY - Minimum Requirements</t>
    </r>
  </si>
  <si>
    <t>Chicory</t>
  </si>
  <si>
    <t>The chicory must be: intact, sound, clean, free of freezing damage and chilling injury, fresh in appearance, free from pests and from damage, free of incipient floral spike more than three quarters of their length, cut or broken off cleanly at the level of the neck, free of abnormal external moisture and of any foreign smell and/or taste.</t>
  </si>
  <si>
    <t>https://read.oecd-ilibrary.org/agriculture-and-food/chicory_cf4b9857-en-fr</t>
  </si>
  <si>
    <t>Sets OECD minimum requirements for chicory; international; not legally binding.</t>
  </si>
  <si>
    <t>Chicory is classified in three classes, as defined: “Extra” Class, Class I, Class II.</t>
  </si>
  <si>
    <t>Sets OECD classification requirements for chicory; international; not legally binding.</t>
  </si>
  <si>
    <t>Size is determined by the diameter of the widest section at right angles to the longitudinal axis, and by length.</t>
  </si>
  <si>
    <t>Sets OECD sizing requirements for chicory; international; not legally binding.</t>
  </si>
  <si>
    <t>i) “Extra Class”
A total tolerance of 5 percent, by number or weight, of chicory not satisfying the requirements of the class but meeting those of Class I is allowed.
ii) Class I
A total tolerance of 10 percent, by number or weight, of chicory not satisfying the requirements of the class but meeting those of Class II is allowed. 
iii) Class II
A total tolerance of 10 percent, by number or weight, of chicory satisfying neither the requirements of the class nor the minimum requirements is allowed.</t>
  </si>
  <si>
    <t>Sets OECD quality tolerances requirements for chicory; international; not legally binding.</t>
  </si>
  <si>
    <t>For all classes: A total tolerance of 10 percent, by number or weight, of chicory not satisfying the requirements as regards sizing is allowed.</t>
  </si>
  <si>
    <t>Sets OECD size tolerances requirements for chicory; international; not legally binding.</t>
  </si>
  <si>
    <t>The contents of each package must be uniform and contain  only chicory of the same origin, variety or commercial type, quality and size.</t>
  </si>
  <si>
    <t>Sets OECD uniformity requirements for chicory; international; not legally binding.</t>
  </si>
  <si>
    <t>The chicory must be packed in such a way as to protect the produce properly.</t>
  </si>
  <si>
    <t>Sets OECD packaging requirements for chicory; international; not legally binding.</t>
  </si>
  <si>
    <t>Sets OECD marking identification requirements for chicory; international; not legally binding.</t>
  </si>
  <si>
    <r>
      <rPr>
        <b/>
        <sz val="12"/>
        <rFont val="Calibri"/>
        <family val="2"/>
        <scheme val="minor"/>
      </rPr>
      <t>International Standards for Fruits and Vegetables - Cherries (OECD)</t>
    </r>
    <r>
      <rPr>
        <sz val="12"/>
        <rFont val="Calibri"/>
        <family val="2"/>
        <scheme val="minor"/>
      </rPr>
      <t xml:space="preserve">
PROVISIONS CONCERNING QUALITY- Minimum Requirements</t>
    </r>
  </si>
  <si>
    <t>Cherries</t>
  </si>
  <si>
    <t>The cherries must be: intact, clean, sound, firm, fresh in appearance, free from pests and damage, free of abnormal external moisture and of any foreign smell and/or taste.</t>
  </si>
  <si>
    <t>https://read.oecd-ilibrary.org/agriculture-and-food/cherries_9789264248625-en-fr</t>
  </si>
  <si>
    <t>Sets OECD minimum requirements for cherries; international; not legally binding.</t>
  </si>
  <si>
    <t>The cherries are classified in three classes, as defined: “Extra” Class, Class I, Class II.</t>
  </si>
  <si>
    <t>Sets OECD classification requirements for cherries; international; not legally binding.</t>
  </si>
  <si>
    <t>The cherries must be sufficiently developed and display satisfactory maturity and/or ripeness.</t>
  </si>
  <si>
    <t>Sets OECD maturity requirements for cherries; international; not legally binding.</t>
  </si>
  <si>
    <t>Size is determined by the maximum diameter of the equatorial section.</t>
  </si>
  <si>
    <t>Sets OECD sizing requirements for cherries; international; not legally binding.</t>
  </si>
  <si>
    <t>i) “Extra” Class A total tolerance of 5 percent, by number or weight, of cherries not satisfying the requirements of the class but meeting those of Class I is allowed.
ii) Class I
A total tolerance of 10 percent, by number or weight, of cherries not satisfying the requirements of the class but meeting those of Class II is allowed.
iii) Class II
A total tolerance of 10 percent, by number or weight, of cherries satisfying neither the requirements of the class nor the minimum requirements is allowed.</t>
  </si>
  <si>
    <t>Sets OECD quality tolerances requirements for cherries; international; not legally binding.</t>
  </si>
  <si>
    <t>For all classes: A total tolerance of 10 percent, by number or weight, of cherries not satisfying the requirements as regards sizing is allowed.</t>
  </si>
  <si>
    <t>Sets OECD size tolerances requirements for cherries; international; not legally binding.</t>
  </si>
  <si>
    <t>The contents of each package must be uniform and contain only cherries of the same origin, variety and quality. The fruit must be reasonably uniform in size.</t>
  </si>
  <si>
    <t>Sets OECD uniformity requirements for cherries; international; not legally binding.</t>
  </si>
  <si>
    <t>Cherries must be packed in such a way as to protect the produce properly.</t>
  </si>
  <si>
    <t>Sets OECD packaging requirements for cherries; international; not legally binding.</t>
  </si>
  <si>
    <t>Sets OECD marking identification requirements for cherries; international; not legally binding.</t>
  </si>
  <si>
    <r>
      <rPr>
        <b/>
        <sz val="12"/>
        <rFont val="Calibri"/>
        <family val="2"/>
        <scheme val="minor"/>
      </rPr>
      <t>International Standards for Fruits and Vegetables - Cucumbers (OECD)</t>
    </r>
    <r>
      <rPr>
        <sz val="12"/>
        <rFont val="Calibri"/>
        <family val="2"/>
        <scheme val="minor"/>
      </rPr>
      <t xml:space="preserve">
PROVISIONS CONCERNING QUALITY - Minimum Requirements</t>
    </r>
  </si>
  <si>
    <t>The cucumbers must be: intact, sound, clean, fresh in appearance, and firm, free from pests and damage, free of bitter taste, abnormal external moisture and of any foreign smell and/or taste.</t>
  </si>
  <si>
    <t>https://read.oecd-ilibrary.org/agriculture-and-food/cucumbers_9789264045262-en-fr#page1</t>
  </si>
  <si>
    <t>Sets OECD minimum requirements for cucumbers; international; not legally binding.</t>
  </si>
  <si>
    <t>Cucumbers are classified in three classes, as defined: "Extra" Class, Class I, Class II.</t>
  </si>
  <si>
    <t>https://read.oecd-ilibrary.org/agriculture-and-food/cucumbers_9789264045262-en-fr#page2</t>
  </si>
  <si>
    <t>Sets OECD classification requirements for cucumbers; international; not legally binding.</t>
  </si>
  <si>
    <t>Size is determined either by weight or by a combination of diameter and length.</t>
  </si>
  <si>
    <t>https://read.oecd-ilibrary.org/agriculture-and-food/cucumbers_9789264045262-en-fr#page3</t>
  </si>
  <si>
    <t>Sets OECD sizing requirements for cucumbers; international; not legally binding.</t>
  </si>
  <si>
    <t>i) “Extra” Class A total tolerance of 5 percent, by number or weight, of cucumbers not satisfying the requirements of the class but meeting those of Class I is allowed.
ii) Class I
A total tolerance of 10 percent, by number or weight, of cucumbers not satisfying the requirements of the class but meeting those of Class II is allowed.
iii) Class II
A total tolerance of 10 percent, by number or weight, of cucumbers satisfying neither the requirements of the class nor the minimum requirements is allowed.</t>
  </si>
  <si>
    <t>https://read.oecd-ilibrary.org/agriculture-and-food/cucumbers_9789264045262-en-fr#page4</t>
  </si>
  <si>
    <t>Sets OECD quality tolerances requirements for cucumbers; international; not legally binding.</t>
  </si>
  <si>
    <t>For all classes (if sized): A total tolerance of 10 percent, by number or weight, of cucumbers not satisfying the requirements as regards sizing is allowed.</t>
  </si>
  <si>
    <t>https://read.oecd-ilibrary.org/agriculture-and-food/cucumbers_9789264045262-en-fr#page5</t>
  </si>
  <si>
    <t>Sets OECD size tolerances requirements for cucumbers; international; not legally binding.</t>
  </si>
  <si>
    <t>The contents of each package must be uniform and contain only cucumbers of the same origin, variety or commercial type, quality and size (if sized).</t>
  </si>
  <si>
    <t>https://read.oecd-ilibrary.org/agriculture-and-food/cucumbers_9789264045262-en-fr#page6</t>
  </si>
  <si>
    <t>Sets OECD uniformity requirements for cucumbers; international; not legally binding.</t>
  </si>
  <si>
    <t>The cucumbers must be packed in such a way as to protect the produce properly.</t>
  </si>
  <si>
    <t>https://read.oecd-ilibrary.org/agriculture-and-food/cucumbers_9789264045262-en-fr#page7</t>
  </si>
  <si>
    <t>Sets OECD packaging requirements for cucumbers; international; not legally binding.</t>
  </si>
  <si>
    <t>https://read.oecd-ilibrary.org/agriculture-and-food/cucumbers_9789264045262-en-fr#page8</t>
  </si>
  <si>
    <t>Sets OECD marking identification requirements for cucumbers; international; not legally binding.</t>
  </si>
  <si>
    <r>
      <rPr>
        <b/>
        <sz val="12"/>
        <rFont val="Calibri"/>
        <family val="2"/>
        <scheme val="minor"/>
      </rPr>
      <t>International Standards for Fruits and Vegetables - Cultivated mushrooms (OECD)</t>
    </r>
    <r>
      <rPr>
        <sz val="12"/>
        <rFont val="Calibri"/>
        <family val="2"/>
        <scheme val="minor"/>
      </rPr>
      <t xml:space="preserve">
PROVISIONS CONCERNING QUALITY - Minimum Requirements</t>
    </r>
  </si>
  <si>
    <t>Cultivated mushrooms</t>
  </si>
  <si>
    <t>The cultivated mushrooms must be: intact, sound, clean, fresh in appearance, free from pests and damage, free of abnormal external moisture and any foreign smell and/or taste.</t>
  </si>
  <si>
    <t>https://read.oecd-ilibrary.org/agriculture-and-food/cultivated-mushrooms_9789264013261-en-fr#page1</t>
  </si>
  <si>
    <t>Sets OECD minimum requirements for  cultivated mushrooms; international; not legally binding.</t>
  </si>
  <si>
    <t>The cultivated mushrooms are classified in three classes, as defined: “Extra” Class, Class I, Class II.</t>
  </si>
  <si>
    <t>https://read.oecd-ilibrary.org/agriculture-and-food/cultivated-mushrooms_9789264013261-en-fr#page2</t>
  </si>
  <si>
    <t>Sets OECD  classification requirements for  cultivated mushrooms; international; not legally binding.</t>
  </si>
  <si>
    <t>Size is determined by the maximum diameter of the cap and the length of the stalk, according to the following specifications. The length of the stalk is measured from: the gills under the cap for open and flat mushrooms, the veil for closed and veiled mushrooms.</t>
  </si>
  <si>
    <t>https://read.oecd-ilibrary.org/agriculture-and-food/cultivated-mushrooms_9789264013261-en-fr#page3</t>
  </si>
  <si>
    <t>Sets OECD  sizing requirements for  cultivated mushrooms; international; not legally binding.</t>
  </si>
  <si>
    <t>i) “Extra” Class A total tolerance of 5 percent, by number or weight, of cultivated mushrooms not satisfying the requirements of the class but meeting those of Class I is allowed.
ii) Class I
A total tolerance of 10 percent, by number or weight, of cultivated mushrooms not satisfying the requirements of the class, but meeting those of Class II is allowed.
iii) Class II
A total tolerance of 10 percent, by number or weight, of cultivated mushrooms satisfying neither the requirements of the class nor the minimum requirements is allowed.</t>
  </si>
  <si>
    <t>https://read.oecd-ilibrary.org/agriculture-and-food/cultivated-mushrooms_9789264013261-en-fr#page4</t>
  </si>
  <si>
    <t>Sets OECD  quality tolerances requirements for  cultivated mushrooms; international; not legally binding.</t>
  </si>
  <si>
    <t>For all classes (if sized): A total tolerance of 10 percent, by number or weight, of cultivated mushrooms not satisfying the requirements as regards sizing is allowed.</t>
  </si>
  <si>
    <t>https://read.oecd-ilibrary.org/agriculture-and-food/cultivated-mushrooms_9789264013261-en-fr#page5</t>
  </si>
  <si>
    <t>Sets OECD size tolerances requirements for  cultivated mushrooms; international; not legally binding.</t>
  </si>
  <si>
    <t>The contents of each package must be uniform and contain only cultivated mushrooms of the same origin, commercial type, quality and size (if sized).</t>
  </si>
  <si>
    <t>https://read.oecd-ilibrary.org/agriculture-and-food/cultivated-mushrooms_9789264013261-en-fr#page6</t>
  </si>
  <si>
    <t>Sets OECD  uniformity requirements for  cultivated mushrooms; international; not legally binding.</t>
  </si>
  <si>
    <t>The cultivated mushrooms must be packed in such a way as to protect the produce properly.</t>
  </si>
  <si>
    <t>https://read.oecd-ilibrary.org/agriculture-and-food/cultivated-mushrooms_9789264013261-en-fr#page7</t>
  </si>
  <si>
    <t>Sets OECD  packaging requirements for  cultivated mushrooms; international; not legally binding.</t>
  </si>
  <si>
    <t>https://read.oecd-ilibrary.org/agriculture-and-food/cultivated-mushrooms_9789264013261-en-fr#page8</t>
  </si>
  <si>
    <t>Sets OECD marking identification  requirements for  cultivated mushrooms; international; not legally binding.</t>
  </si>
  <si>
    <r>
      <rPr>
        <b/>
        <sz val="12"/>
        <rFont val="Calibri"/>
        <family val="2"/>
        <scheme val="minor"/>
      </rPr>
      <t>UNECE Standard FFV-57 - Berry fruits</t>
    </r>
    <r>
      <rPr>
        <sz val="12"/>
        <rFont val="Calibri"/>
        <family val="2"/>
        <scheme val="minor"/>
      </rPr>
      <t xml:space="preserve">
PROVISIONS CONCERNING QUALITY - Minimum Requirements</t>
    </r>
  </si>
  <si>
    <t>Berry fruits</t>
  </si>
  <si>
    <t>The berry fruits must be: intact, sound, free from pests and damage, fresh in appearance, free of abnormal external moisture and of any foreign smell and/or taste.</t>
  </si>
  <si>
    <t>https://unece.org/sites/default/files/2024-03/FFV-57_Berry_fruits_2023_e.pdf
https://unece.org/trade/wp7/FFV-Standards</t>
  </si>
  <si>
    <t>Sets  UNECE minimum requirements for berry fruits; international; not legally binding.</t>
  </si>
  <si>
    <t>Berry fruits classified in three classes, as defined: Extra Class, Class I, Class II.</t>
  </si>
  <si>
    <t>Sets UNECE classification requirements for berry fruits; international; not legally binding.</t>
  </si>
  <si>
    <t>Berry fruits must be sufficiently developed and display satisfactory maturity and/or ripeness according to the species but must not be overripe. Gooseberries may be presented hard ripe.</t>
  </si>
  <si>
    <t>Sets UNECE maturity requirements for berry fruits; international; not legally binding.</t>
  </si>
  <si>
    <t>i) "Extra" Class A total tolerance of 5 percent, by number or weight, of berry fruits not satisfying the requirements of the class but meeting those of Class I is allowed.
ii) Class I
A total tolerance of 10 percent, by number or weight, of berry fruits not satisfying the requirements of the class but meeting those of Class II is allowed.
iii) Class II
A total tolerance of 10 percent, by number or weight, of berry fruits satisfying neither the requirements of the class nor the minimum requirements is allowed.</t>
  </si>
  <si>
    <t>Sets UNECE quality tolerances requirements for berry fruits; international; not legally binding.</t>
  </si>
  <si>
    <t>The contents of each package must be uniform and contain only berry fruits of the same origin, variety or, in the case of wild berry fruits, species, and quality.</t>
  </si>
  <si>
    <t>Sets UNECE uniformity requirements for berry fruits; international; not legally binding.</t>
  </si>
  <si>
    <t>Berry fruits must be packed in such a way as to protect the produce properly.</t>
  </si>
  <si>
    <t>Sets UNECE packaging requirements for berry fruits; international; not legally binding.</t>
  </si>
  <si>
    <t>Sets UNECE marking identification requirements for berry fruits; international; not legally binding.</t>
  </si>
  <si>
    <r>
      <rPr>
        <b/>
        <sz val="12"/>
        <rFont val="Calibri"/>
        <family val="2"/>
        <scheme val="minor"/>
      </rPr>
      <t>UNECE Standard FFV-08 - Brussels sprouts</t>
    </r>
    <r>
      <rPr>
        <sz val="12"/>
        <rFont val="Calibri"/>
        <family val="2"/>
        <scheme val="minor"/>
      </rPr>
      <t xml:space="preserve">
PROVISIONS CONCERNING QUALITY- Minimum Requirements</t>
    </r>
  </si>
  <si>
    <t>Brussels sprouts</t>
  </si>
  <si>
    <t>The brussels sprouts must be: intact, sound, clean, free of any visible foreign matter, fresh in appearance, free from pests and damage caused by pests, free of abnormal external moisture  and of any foreign smell and/or taste.</t>
  </si>
  <si>
    <t>https://unece.org/sites/default/files/2024-03/FFV-08_Brussels_sprouts_2023_e.pdf
https://unece.org/trade/wp7/FFV-Standards</t>
  </si>
  <si>
    <t>Sets UNECE minimum requirements for brussels sprouts; international; not legally binding.</t>
  </si>
  <si>
    <t>Brussels sprouts are classified in two classes, as defined: Class I, Class II.</t>
  </si>
  <si>
    <t>Sets UNECE classification requirements for brussels sprouts; international; not legally binding.</t>
  </si>
  <si>
    <t>Sets UNECE sizing requirements for brussels sprouts; international; not legally binding.</t>
  </si>
  <si>
    <t>i) Class I 
A total tolerance of 10 per cent, by number or weight, of brussels sprouts not satisfying the requirements of the class but meeting those of Class II is allowed.
ii) Class II
A total tolerance of 10 per cent, by number or weight, of brussels sprouts satisfying neither the requirements of the class nor the minimum requirements is allowed.</t>
  </si>
  <si>
    <t>Sets UNECE quality tolerances requirements for brussels sprouts; international; not legally binding.</t>
  </si>
  <si>
    <t>A total tolerance of 10 percent, by number or weight, of brussels sprouts not satisfying the requirements as regards sizing is allowed.</t>
  </si>
  <si>
    <t>Sets UNECE size tolerances requirements for brussels sprouts; international; not legally binding.</t>
  </si>
  <si>
    <t>The contents of each package must be uniform and contain only 
brussels sprouts of the same origin, variety or commercial type, quality, and size (if sized).</t>
  </si>
  <si>
    <t>Sets UNECE uniformity requirements for brussels sprouts; international; not legally binding.</t>
  </si>
  <si>
    <t>Brussels sprouts must be packed in such a way as to protect the produce properly.</t>
  </si>
  <si>
    <t>Sets UNECE packaging requirements for brussels sprouts; international; not legally binding.</t>
  </si>
  <si>
    <t>Sets UNECE marking identification requirements for brussels sprouts; international; not legally binding.</t>
  </si>
  <si>
    <r>
      <rPr>
        <b/>
        <sz val="12"/>
        <rFont val="Calibri"/>
        <family val="2"/>
        <scheme val="minor"/>
      </rPr>
      <t>UNECE Standard FFV-09 - Head cabbages</t>
    </r>
    <r>
      <rPr>
        <sz val="12"/>
        <rFont val="Calibri"/>
        <family val="2"/>
        <scheme val="minor"/>
      </rPr>
      <t xml:space="preserve">
PROVISIONS CONCERNING QUALITY- Minimum Requirements</t>
    </r>
  </si>
  <si>
    <t>Headed cabbages</t>
  </si>
  <si>
    <t>The headed cabbages must be: intact, sound, clean, free of any visible foreign matter, fresh in appearance, free from pests and damage caused by pests, free of damage due to frost, free of abnormal external moisture and of any foreign smell and/or taste.</t>
  </si>
  <si>
    <t>https://unece.org/sites/default/files/2024-03/FFV-09_Headed_cabbages_2023_e.pdf
https://unece.org/trade/wp7/FFV-Standards</t>
  </si>
  <si>
    <t>Sets UNECE minimum requirements for headed cabbages; international; not legally binding.</t>
  </si>
  <si>
    <t>The headed cabbages are classified in two classes, as defined:
Class I, Class II.</t>
  </si>
  <si>
    <t>Sets UNECE classification requirements for headed cabbages; international; not legally binding.</t>
  </si>
  <si>
    <t>Size is determined by weight of the unit.</t>
  </si>
  <si>
    <t>Sets UNECE sizing requirements for headed cabbages; international; not legally binding.</t>
  </si>
  <si>
    <t>i) Class I A total tolerance of 10 percent, by number or weight, of headed cabbages not satisfying the requirements of the class but meeting those of Class II is allowed.
ii) Class II
A total tolerance of 10 percent, by number or weight, of headed cabbages satisfying neither the requirements of the class nor the minimum requirements is allowed.</t>
  </si>
  <si>
    <t>Sets UNECE quality tolerances requirements for headed cabbages; international; not legally binding.</t>
  </si>
  <si>
    <t>For all classes (if sized): A total tolerance of 10 percent, by number or weight, of headed cabbages not satisfying the requirements as regards sizing is allowed.</t>
  </si>
  <si>
    <t>Sets UNECE size tolerances requirements for headed cabbages; international; not legally binding.</t>
  </si>
  <si>
    <t>The contents of each package (or lot for produce presented in bulk in 
the transport vehicle), must be uniform and contain only headed cabbages of the same origin, variety or commercial type, quality, and size (if sized).</t>
  </si>
  <si>
    <t>Sets UNECE uniformity requirements for headed cabbages; international; not legally binding.</t>
  </si>
  <si>
    <t>Headed cabbages must be packed in such a way as to protect the produce properly.</t>
  </si>
  <si>
    <t>Sets UNECE packaging requirements for headed cabbages; international; not legally binding.</t>
  </si>
  <si>
    <t>Sets UNECE marking identification requirements for headed cabbages; international; not legally binding.</t>
  </si>
  <si>
    <r>
      <rPr>
        <b/>
        <sz val="12"/>
        <rFont val="Calibri"/>
        <family val="2"/>
        <scheme val="minor"/>
      </rPr>
      <t>UNECE Standard FFV-03 - Artichokes</t>
    </r>
    <r>
      <rPr>
        <sz val="12"/>
        <rFont val="Calibri"/>
        <family val="2"/>
        <scheme val="minor"/>
      </rPr>
      <t xml:space="preserve">
PROVISIONS CONCERNING QUALITY - Minimum Requirements</t>
    </r>
  </si>
  <si>
    <t>Artichokes</t>
  </si>
  <si>
    <t>The artichokes must be: intact, sound, clean, free from pests, from damage, free of damage, of sunburn, of abnormal external moisture, of any foreign smell and/or taste.</t>
  </si>
  <si>
    <t>https://unece.org/sites/default/files/2024-03/FFV-03_Artichokes_2023_e.pdf
https://unece.org/trade/wp7/FFV-Standards</t>
  </si>
  <si>
    <t>Sets UNECE minimum requirements for artichokes; international; not legally binding.</t>
  </si>
  <si>
    <t>Artichokes are classified in three classes, as defined: Extra Class, Class I, Class II.</t>
  </si>
  <si>
    <t>Sets UNECE classification  requirements for artichokes; international; not legally binding.</t>
  </si>
  <si>
    <t>Size is determined by the maximum diameter of the equatorial section of the head.</t>
  </si>
  <si>
    <t>Sets UNECE sizing requirements for artichokes; international; not legally binding.</t>
  </si>
  <si>
    <t>i) “Extra” Class A total tolerance of 5 percent, by number or weight, of artichokes not satisfying the requirements of the class but meeting those of Class I is allowed.
ii) Class I
A total tolerance of 10 percent, by number or weight, of artichokes not satisfying the requirements of the class, but meeting those of Class II is allowed.
iii) Class II
A total tolerance of 10 percent by number or weight, of artichokes satisfying neither the requirements of the class nor the minimum requirements is allowed.</t>
  </si>
  <si>
    <t>Sets UNECE rules for  quality, grading and labelling requirements for artichokes; international; not legally binding.</t>
  </si>
  <si>
    <t>For all classes (if sized): A total tolerance of 10 percent, by number or weight, of artichokes not satisfying the requirements as regards sizing is allowed provided the artichokes conform to a minimum of 5 cm in diameter.</t>
  </si>
  <si>
    <t>Sets UNECE quality tolerances requirements for artichokes; international; not legally binding.</t>
  </si>
  <si>
    <t>The contents of each package must be uniform and contain only artichokes of the same origin, variety or commercial type, quality and size (if sized).</t>
  </si>
  <si>
    <t>Sets UNECE uniformity requirements for artichokes; international; not legally binding.</t>
  </si>
  <si>
    <t>The artichokes must be packed in such a way as to protect the produce properly.</t>
  </si>
  <si>
    <t>Sets UNECE packaging requirements for artichokes; international; not legally binding.</t>
  </si>
  <si>
    <t>Sets UNECE marking identification requirements for artichokes; international; not legally binding.</t>
  </si>
  <si>
    <r>
      <rPr>
        <b/>
        <sz val="12"/>
        <rFont val="Calibri"/>
        <family val="2"/>
        <scheme val="minor"/>
      </rPr>
      <t>UNECE Standard FFV-05 - Aubergines</t>
    </r>
    <r>
      <rPr>
        <sz val="12"/>
        <rFont val="Calibri"/>
        <family val="2"/>
        <scheme val="minor"/>
      </rPr>
      <t xml:space="preserve">
PROVISIONS CONCERNING QUALITY - Minimum Requirements</t>
    </r>
  </si>
  <si>
    <t>Aubergines</t>
  </si>
  <si>
    <t>The aubergines must be: intact, sound, clean, fresh in appearance firm, free from pests and damage, unbruised, sufficiently developed, free of abnormal external moisture and of any foreign smell and/or taste, provided with a calyx and peduncle.</t>
  </si>
  <si>
    <t>https://unece.org/fileadmin/DAM/trade/agr/standard/standard/fresh/FFV-Std/English/05_Aubergines.pdf
https://unece.org/trade/wp7/FFV-Standards</t>
  </si>
  <si>
    <t>Sets  UNECE minimum requirements for aubergines; international; not legally binding.</t>
  </si>
  <si>
    <t>Aubergines are classified in three classes, as defined: Extra Class, Class I, Class II.</t>
  </si>
  <si>
    <t>Sets UNECE classification requirements for aubergines; international; not legally binding.</t>
  </si>
  <si>
    <t>Size is determined by either the maximum diameter of the equatorial section on the longitudinal axis, or by weight, or by count.</t>
  </si>
  <si>
    <t>Sets UNECE sizing requirements for aubergines; international; not legally binding.</t>
  </si>
  <si>
    <t>i) “Extra” Class A total tolerance of 5 percent, by number or weight, of aubergines not satisfying the requirements of the class but meeting those of Class I is allowed.
ii) Class I
A total tolerance of 10 per cent, by number or weight, of aubergines not satisfying the requirements of the class but meeting those of Class II is allowed.
iii) Class II
A total tolerance of 10 per cent, by number or weight, of aubergines satisfying neither the requirements of the class nor the minimum requirements is allowed.</t>
  </si>
  <si>
    <t>Sets UNECE quality tolerances requirements for aubergines; international; not legally binding.</t>
  </si>
  <si>
    <t>For all classes (if sized): A total tolerance of 10 percent, by number or weight, of aubergines not satisfying the requirements as regards sizing is allowed.</t>
  </si>
  <si>
    <t>Sets UNECE size tolerances requirements for aubergines; international; not legally binding.</t>
  </si>
  <si>
    <t>The contents of each package must be uniform and contain only aubergines of the same origin, variety or commercial type, quality, size (if sized), and appreciably the same degree of development and colouring.</t>
  </si>
  <si>
    <t>Sets UNECE uniformity requirements for aubergines; international; not legally binding.</t>
  </si>
  <si>
    <t>Aubergines must be packed in such a way as to protect the produce properly.</t>
  </si>
  <si>
    <t>Sets UNECE packaging requirements for aubergines; international; not legally binding.</t>
  </si>
  <si>
    <t>Sets UNECE marking identification requirements for aubergines; international; not legally binding.</t>
  </si>
  <si>
    <r>
      <rPr>
        <b/>
        <sz val="12"/>
        <rFont val="Calibri"/>
        <family val="2"/>
        <scheme val="minor"/>
      </rPr>
      <t>UNECE Standard FFV-47 - Annonas</t>
    </r>
    <r>
      <rPr>
        <sz val="12"/>
        <rFont val="Calibri"/>
        <family val="2"/>
        <scheme val="minor"/>
      </rPr>
      <t xml:space="preserve">
PROVISIONS CONCERNING QUALITY - Minimum Requirements</t>
    </r>
  </si>
  <si>
    <t>Annonas</t>
  </si>
  <si>
    <t>The annonas must be: intact, sound, clean, free from pests, from damage, free of damage, of sunburn, of abnormal external moisture, of any foreign smell and/or taste.</t>
  </si>
  <si>
    <t>https://unece.org/sites/default/files/2024-03/FFV-47_Annonas_2023_e.pdf
https://unece.org/trade/wp7/FFV-Standards</t>
  </si>
  <si>
    <t>Sets UNECE minimum requirements for  annonas; international; not legally binding.</t>
  </si>
  <si>
    <t>Annonas are classified in three classes, as defined: “Extra” Class, Class I, Class II.</t>
  </si>
  <si>
    <t>Sets UNECE classification requirements for  annonas; international; not legally binding.</t>
  </si>
  <si>
    <t>The development and state of maturity of the annonas must be such as to enable them to continue their ripening process and to reach a satisfactory degree of ripeness.</t>
  </si>
  <si>
    <t>Sets UNECE maturity requirements  for  annonas; international; not legally binding.</t>
  </si>
  <si>
    <t>Size is determined by the weight of individual fruit.</t>
  </si>
  <si>
    <t>Sets UNECE sizing requirements for annonas; international; not legally binding.</t>
  </si>
  <si>
    <t>(i) “Extra” Class A total tolerance of 5 percent, by number or weight, of fruit not satisfying the requirements of the class but meeting those of Class I is allowed.
ii) Class I
A total tolerance of 10 percent, by number or weight, of fruit not satisfying the requirements of the class, but meeting those of Class II is allowed.
iii) Class II
A total tolerance of 10 percent, by number or weight, of fruit satisfying neither the requirements of the class nor the minimum requirements is allowed.</t>
  </si>
  <si>
    <t>Sets UNECE quality tolerances requirements for annonas; international; not legally binding.</t>
  </si>
  <si>
    <t>For all classes: A total tolerance of 10 percent, by number or weight, of fruit not satisfying the requirements as regards sizing is allowed.</t>
  </si>
  <si>
    <t>Sets UNECE size tolerances requirements for annonas; international; not legally binding.</t>
  </si>
  <si>
    <t>The contents of each package must be uniform and contain only annonas of the same origin, species, variety, quality and size.</t>
  </si>
  <si>
    <t>Sets UNECE uniformity requirements for  annonas; international; not legally binding.</t>
  </si>
  <si>
    <t>Annonas must be packed in such a way as to protect the produce properly.</t>
  </si>
  <si>
    <t>Sets UNECE packaging requirements for  annonas; international; not legally binding.</t>
  </si>
  <si>
    <t>Sets UNECE marking identification requirements for annonas; international; not legally binding.</t>
  </si>
  <si>
    <r>
      <rPr>
        <b/>
        <sz val="12"/>
        <rFont val="Calibri"/>
        <family val="2"/>
        <scheme val="minor"/>
      </rPr>
      <t>UNECE Standard FFV-11 - Cauliflower</t>
    </r>
    <r>
      <rPr>
        <sz val="12"/>
        <rFont val="Calibri"/>
        <family val="2"/>
        <scheme val="minor"/>
      </rPr>
      <t xml:space="preserve">
PROVISIONS CONCERNING QUALITY- Minimum Requirements</t>
    </r>
  </si>
  <si>
    <t>Cauliflower</t>
  </si>
  <si>
    <t>The heads must be: intact, “with leaves” or "without leaves" or "trimmed", sound, clean, fresh in appearance, free from pests and damage, free of abnormal external moisture and of any foreign smell and/or taste.</t>
  </si>
  <si>
    <t>https://unece.org/sites/default/files/2023-12/FFV11_Cauliflowers_2023_e.pdf
https://unece.org/trade/wp7/FFV-Standards</t>
  </si>
  <si>
    <t>Sets UNECE minimum requirements for cauliflower; international; not legally binding.</t>
  </si>
  <si>
    <t>Cauliflower is classified in three classes, as defined: “Extra” Class, Class I, Class II.</t>
  </si>
  <si>
    <t>Sets UNECE classification requirements for cauliflower; international; not legally binding.</t>
  </si>
  <si>
    <t>Sets UNECE sizing requirements for cauliflower; international; not legally binding.</t>
  </si>
  <si>
    <t>i) “Extra” Class A total tolerance of 5 percent, by number or weight, of cauliflower not satisfying the requirements of the class but meeting those of Class I is allowed.
ii) Class I
A total tolerance of 10 percent, by number or weight, of cauliflower not satisfying the requirements of the class but meeting those of Class II is allowed.
iii) Class II
A total tolerance of 10 percent, by number or weight, of cauliflower satisfying neither the requirements of the class nor the minimum requirements is allowed.</t>
  </si>
  <si>
    <t>Sets UNECE quality tolerances requirements for cauliflower; international; not legally binding.</t>
  </si>
  <si>
    <t>For all classes (if sized): A total tolerance of 10 percent, by number or weight, of cauliflower not satisfying the requirements as regards sizing is allowed.</t>
  </si>
  <si>
    <t>Sets UNECE size tolerances requirements for cauliflower; international; not legally binding.</t>
  </si>
  <si>
    <t>The contents of each package must be uniform and contain only cauliflower of the same origin, variety or commercial type, quality and size (if sized).</t>
  </si>
  <si>
    <t>Sets UNECE uniformity requirements for cauliflower; international; not legally binding.</t>
  </si>
  <si>
    <t>Cauliflower must be packed in such a way as to protect the produce properly.</t>
  </si>
  <si>
    <t>Sets UNECE packaging requirements for cauliflower; international; not legally binding.</t>
  </si>
  <si>
    <t>Sets UNECE marking identification requirements for cauliflower; international; not legally binding.</t>
  </si>
  <si>
    <r>
      <rPr>
        <b/>
        <sz val="12"/>
        <rFont val="Calibri"/>
        <family val="2"/>
        <scheme val="minor"/>
      </rPr>
      <t>UNECE Standard FFV-55 - Chanterelles</t>
    </r>
    <r>
      <rPr>
        <sz val="12"/>
        <rFont val="Calibri"/>
        <family val="2"/>
        <scheme val="minor"/>
      </rPr>
      <t xml:space="preserve">
PROVISIONS CONCERNING QUALITY - Minimum Requirements</t>
    </r>
  </si>
  <si>
    <t>Chanterelles</t>
  </si>
  <si>
    <t>The chanterelles must be: intact, sound, clean, positively identifiable, firm, fresh in appearance, free from pests, free from damage caused by pests, free of abnormal external moisture, free of any foreign smell and/or taste.</t>
  </si>
  <si>
    <t>https://unece.org/sites/default/files/2024-03/FFV-55_Chanterelles_2023_e.pdf
https://unece.org/trade/wp7/FFV-Standards</t>
  </si>
  <si>
    <t>Sets UNECE minimum requirements for chanterelles; international; not legally binding.</t>
  </si>
  <si>
    <t>Chanterelles is classified in three classes, as defined: “Extra” Class, Class I, Class II.</t>
  </si>
  <si>
    <t>Sets UNECE classification requirements for chanterelles; international; not legally binding.</t>
  </si>
  <si>
    <t>Size is determined by the maximum diameter of the cap and the height.</t>
  </si>
  <si>
    <t>Sets UNECE sizing requirements for chanterelles; international; not legally binding.</t>
  </si>
  <si>
    <t>i) “Extra” Class 
A total tolerance of 5 percent, by weight, of chanterelles not satisfying the requirements of the class but meeting those of Class I is allowed. 
ii) Class I
A total tolerance of 10 percent, by weight, of chanterelles not satisfying the requirements of the class but meeting those of Class II is allowed.
Class II
A total tolerance of 10 percent, by weight, of chanterelles satisfying neither the requirements of the class nor the minimum requirements is allowed.</t>
  </si>
  <si>
    <t>Sets UNECE quality tolerances requirements for chanterelles; international; not legally binding.</t>
  </si>
  <si>
    <t>For all classes (if sized): A tolerance of 10 percent, by weight, of chanterelles not satisfying the requirements as regards sizing is allowed.</t>
  </si>
  <si>
    <t>Sets UNECE size tolerances requirements for chanterelles; international; not legally binding.</t>
  </si>
  <si>
    <t>The contents of each package must be uniform and contain only chanterelles of the same origin, quality, species and size (if sized).</t>
  </si>
  <si>
    <t>Sets UNECE uniformity requirements for chanterelles; international; not legally binding.</t>
  </si>
  <si>
    <t>The chanterelles must be packed in such a way as to protect the produce properly.</t>
  </si>
  <si>
    <t>Sets UNECE packaging requirements for chanterelles; international; not legally binding.</t>
  </si>
  <si>
    <t>Sets UNECE marking identification requirements for chanterelles; international; not legally binding.</t>
  </si>
  <si>
    <r>
      <rPr>
        <b/>
        <sz val="12"/>
        <rFont val="Calibri"/>
        <family val="2"/>
        <scheme val="minor"/>
      </rPr>
      <t>UNECE Standard FFV-65 - Certain small fruits</t>
    </r>
    <r>
      <rPr>
        <sz val="12"/>
        <rFont val="Calibri"/>
        <family val="2"/>
        <scheme val="minor"/>
      </rPr>
      <t xml:space="preserve">
PROVISIONS CONCERNING QUALITY - Minimum Requirements</t>
    </r>
  </si>
  <si>
    <t>Certain small fruits</t>
  </si>
  <si>
    <t>Small fruits must be: intact, sound, clean, free from pests and damage, fresh in appearance, free of abnormal external moisture and any foreign smell and/or taste.</t>
  </si>
  <si>
    <t>https://unece.org/sites/default/files/2023-12/FFV-65_Certain_small_fruits_2023_e_0.pdf
https://unece.org/trade/wp7/FFV-Standards</t>
  </si>
  <si>
    <t>Sets UNECE minimum requirements for certain small fruits; international; not legally binding.</t>
  </si>
  <si>
    <t>Small fruits must be sufficiently developed and display satisfactory maturity and/or ripeness according to the species but must not be overripe.</t>
  </si>
  <si>
    <t>Sets UNECE classification requirements for certain small fruits; international; not legally binding.</t>
  </si>
  <si>
    <t>Small fruits are classified in three classes, as defined: “Extra” Class, Class I, Class II.</t>
  </si>
  <si>
    <t>Sets UNECE maturity requirements for certain small fruits; international; not legally binding.</t>
  </si>
  <si>
    <t>i) “Extra” Class A total tolerance of 5 percent, by number or weight, of small fruits not satisfying the requirements of the class but meeting those of Class I is allowed.
ii) Class I
A total tolerance of 10 percent, by number or weight, of small fruits not satisfying the requirements of the class but meeting those of Class II is allowed.
iii) Class II
A total tolerance of 10 percent, by number or weight, of small fruits satisfying neither the requirements of the class nor the minimum requirements is allowed.</t>
  </si>
  <si>
    <t>Sets UNECE quality tolerances requirements for certain small fruits; international; not legally binding.</t>
  </si>
  <si>
    <t>The contents of each package must be uniform and contain only small fruits of the same origin, variety or species, and quality.</t>
  </si>
  <si>
    <t>Sets UNECE uniformity requirements for  certain small fruits; international; not legally binding.</t>
  </si>
  <si>
    <t>Small fruits must be packed in such a way as to protect the produce properly.</t>
  </si>
  <si>
    <t>Sets UNECE packaging requirements for certain small fruits; international; not legally binding.</t>
  </si>
  <si>
    <t>Sets UNECE marking identification requirements for certain small fruits; international; not legally binding.</t>
  </si>
  <si>
    <r>
      <rPr>
        <b/>
        <sz val="12"/>
        <rFont val="Calibri"/>
        <family val="2"/>
        <scheme val="minor"/>
      </rPr>
      <t>UNECE Standard FFV-54 - Ceps</t>
    </r>
    <r>
      <rPr>
        <sz val="12"/>
        <rFont val="Calibri"/>
        <family val="2"/>
        <scheme val="minor"/>
      </rPr>
      <t xml:space="preserve">
PROVISIONS CONCERNING QUALITY - Minimum Requirements</t>
    </r>
  </si>
  <si>
    <t>Ceps</t>
  </si>
  <si>
    <t>The ceps must be: intact, sound, clean, firm, free of mould, positively identifiable, free from pests and damage, free of dark green or blackish pore layer, free of abnormal external moisture and of any foreign smell and/or taste.</t>
  </si>
  <si>
    <t>https://unece.org/sites/default/files/2024-03/FFV-54_Ceps_2023_e.pdf
https://unece.org/trade/wp7/FFV-Standards</t>
  </si>
  <si>
    <t>Sets UNECE minimum requirements for ceps; international; not legally binding.</t>
  </si>
  <si>
    <t>Ceps are classified in three classes, as defined: “Extra” Class, Class I, Class II.</t>
  </si>
  <si>
    <t>Sets UNECE classification requirements for ceps; international; not legally binding.</t>
  </si>
  <si>
    <t>Size is determined by the maximum diameter of the cap.</t>
  </si>
  <si>
    <t>Sets UNECE sizing requirements for ceps; international; not legally binding.</t>
  </si>
  <si>
    <t>i) “Extra” Class A total tolerance of 5 percent, by number or weight, of ceps not satisfying the requirements of the class but meeting those of Class I is allowed.
ii) Class I
A total tolerance of 10 percent, by number or weight, of ceps not satisfying the requirements of the class but meeting those of Class II is allowed.
iii) Class II
A total tolerance of 10 percent, by number or weight, of ceps satisfying neither the requirements of the class nor the minimum requirements is allowed.</t>
  </si>
  <si>
    <t>Sets UNECE quality tolerances requirements for ceps; international; not legally binding.</t>
  </si>
  <si>
    <t>For all classes (if sized): A total tolerance of 10 percent, by number or weight, of ceps not satisfying the requirements as regards sizing is allowed.</t>
  </si>
  <si>
    <t>Sets UNECE size tolerances requirements for ceps; international; not legally binding.</t>
  </si>
  <si>
    <t>The contents of each package must be uniform and contain only ceps of the same origin, species, quality and size (if sized).</t>
  </si>
  <si>
    <t>Sets UNECE uniformity requirements for ceps; international; not legally binding.</t>
  </si>
  <si>
    <t>The ceps must be packed in such a way as to protect the produce properly.</t>
  </si>
  <si>
    <t>Sets UNECE packaging requirements for ceps; international; not legally binding.</t>
  </si>
  <si>
    <t>Sets UNECE marking identification requirements for ceps; international; not legally binding.</t>
  </si>
  <si>
    <r>
      <t xml:space="preserve">
</t>
    </r>
    <r>
      <rPr>
        <b/>
        <sz val="12"/>
        <rFont val="Calibri"/>
        <family val="2"/>
        <scheme val="minor"/>
      </rPr>
      <t>UNECE Standard FFV-61 - Chilli peppers</t>
    </r>
    <r>
      <rPr>
        <sz val="12"/>
        <rFont val="Calibri"/>
        <family val="2"/>
        <scheme val="minor"/>
      </rPr>
      <t xml:space="preserve">
PROVISIONS CONCERNING QUALITY - Minimum Requirements</t>
    </r>
  </si>
  <si>
    <t>Chilli peppers</t>
  </si>
  <si>
    <t>The chilli peppers must be: intact, sound, clean, firm, free from pests and damage, fresh in appearance, including stalk and calyx, free of abnormal external moisture and of any foreign smell and/or taste.</t>
  </si>
  <si>
    <t>https://unece.org/sites/default/files/2024-03/FFV-61_Chilli_peppers_2023_e.pdf
https://unece.org/trade/wp7/FFV-Standards</t>
  </si>
  <si>
    <t>Sets UNECE minimum requirements for chilli peppers; international; not legally binding.</t>
  </si>
  <si>
    <t>Chilli peppers are classified in three classes, as defined: “Extra” Class, Class I, Class II.</t>
  </si>
  <si>
    <t>Sets UNECE classification requirements for chilli peppers; international; not legally binding.</t>
  </si>
  <si>
    <t>Size is determined by length or by maximum diameter of the equatorial section.</t>
  </si>
  <si>
    <t>Sets UNECE sizing requirements for chilli peppers; international; not legally binding.</t>
  </si>
  <si>
    <t>i) “Extra” Class A total tolerance of 5 percent, by number or weight, of chilli peppers not satisfying the requirements of the class but meeting those of Class I is allowed.
ii) Class I
A total tolerance of 10 percent, by number or weight, of chilli peppers satisfying neither the requirements of the class nor the minimum requirements is allowed.
iii) Class II
A total tolerance of 10 percent, by number or weight, of chilli peppers not satisfying the requirements of the class but meeting those of Class II is allowed.</t>
  </si>
  <si>
    <t>Sets UNECE quality tolerances requirements for chilli peppers; international; not legally binding.</t>
  </si>
  <si>
    <t>For all classes (if sized): A total tolerance of 10 percent, by number or weight, of chilli peppers not satisfying the requirements as regards sizing is allowed.</t>
  </si>
  <si>
    <t>Sets UNECE size tolerances requirements for chilli peppers; international; not legally binding.</t>
  </si>
  <si>
    <t>The contents of each package must be uniform and contain only chilli peppers of the same origin, variety or commercial type, quality and size (if sized).</t>
  </si>
  <si>
    <t>Sets UNECE uniformity requirements for chilli peppers; international; not legally binding.</t>
  </si>
  <si>
    <t>The chilli peppers must be packed in such a way as to protect the produce properly.</t>
  </si>
  <si>
    <t>Sets UNECE packaging requirements for chilli peppers; international; not legally binding.</t>
  </si>
  <si>
    <t>Sets UNECE marking identification requirements for chilli peppers; international; not legally binding.</t>
  </si>
  <si>
    <r>
      <rPr>
        <b/>
        <sz val="12"/>
        <rFont val="Calibri"/>
        <family val="2"/>
        <scheme val="minor"/>
      </rPr>
      <t>UNECE Standard FFV-41 - Courgettes</t>
    </r>
    <r>
      <rPr>
        <sz val="12"/>
        <rFont val="Calibri"/>
        <family val="2"/>
        <scheme val="minor"/>
      </rPr>
      <t xml:space="preserve">
PROVISIONS CONCERNING QUALITY - Minimum Requirements</t>
    </r>
  </si>
  <si>
    <t>Courgettes</t>
  </si>
  <si>
    <t>The courgettes and courgettes with the flower must be: intact with stalk, clean, firm, sound, fresh in appearance, free from pests, damage, free of abnormal external moisture and any foreign smell and/or taste, free of cavities and splits, sufficiently developed.</t>
  </si>
  <si>
    <t>https://unece.org/sites/default/files/2024-03/FFV-41_Courgettes_2023_e.pdf
https://unece.org/trade/wp7/FFV-Standards</t>
  </si>
  <si>
    <t>Sets UNECE minimum requirements for courgettes; international; not legally binding.</t>
  </si>
  <si>
    <t>Courgettes are classified in three classes, as defined: “Extra” Class, Class I, Class II.</t>
  </si>
  <si>
    <t>Sets UNECE classification requirements for courgettes; international; not legally binding.</t>
  </si>
  <si>
    <t>Size is determined either by length measured between the junction 
of the stalk and the end of the fruit tip, or by weight of the unit.</t>
  </si>
  <si>
    <t>Sets UNECE sizing requirements for courgettes; international; not legally binding.</t>
  </si>
  <si>
    <t>i) “Extra” Class A total tolerance of 5 percent, by number or weight, of courgettes not satisfying the requirements of the class but meeting those of Class I is allowed.
ii) Class I
A total tolerance of 10 percent, by number or weight, of courgettes not satisfying the requirements of the class but meeting those of Class II is allowed.
iii) Class II
A total tolerance of 10 percent, by number or weight, of courgettes satisfying neither the requirements of the class nor the minimum requirements is allowed.</t>
  </si>
  <si>
    <t>Sets UNECE quality tolerances requirements for courgettes; international; not legally binding.</t>
  </si>
  <si>
    <t>For all classes (if sized): A total tolerance of 10 percent, by number or weight, of courgettes not satisfying the requirements as regards sizing is allowed.</t>
  </si>
  <si>
    <t>Sets UNECE size tolerances requirements for courgettes; international; not legally binding.</t>
  </si>
  <si>
    <t>The contents of each package must be uniform and contain only courgettes of the same origin, variety or commercial type, quality and size (if sized), and appreciably the same degree of development and colouring.</t>
  </si>
  <si>
    <t>Sets UNECE uniformity requirements for courgettes; international; not legally binding.</t>
  </si>
  <si>
    <t>Courgettes must be packed in such a way as to protect the produce properly.</t>
  </si>
  <si>
    <t>Sets UNECE packaging requirements for courgettes; international; not legally binding.</t>
  </si>
  <si>
    <t>Sets UNECE marking identification requirements for courgettes; international; not legally binding.</t>
  </si>
  <si>
    <r>
      <rPr>
        <b/>
        <sz val="12"/>
        <rFont val="Calibri"/>
        <family val="2"/>
        <scheme val="minor"/>
      </rPr>
      <t>UNECE Standard FFV-16 - Fennel</t>
    </r>
    <r>
      <rPr>
        <sz val="12"/>
        <rFont val="Calibri"/>
        <family val="2"/>
        <scheme val="minor"/>
      </rPr>
      <t xml:space="preserve">
PROVISIONS CONCERNING QUALITY - Minimum Requirements</t>
    </r>
  </si>
  <si>
    <t>Fennel</t>
  </si>
  <si>
    <t>The fennel must be: intact, sound, clean, firm, fresh in appearance, free from pests and from damage, not running to seed, free of abnormal external moisture and of any foreign smell and/or taste.</t>
  </si>
  <si>
    <t>https://unece.org/sites/default/files/2024-03/FFV-16_Fennel_2023_e.pdf
https://unece.org/trade/wp7/FFV-Standards</t>
  </si>
  <si>
    <t>Sets UNECE minimum requirements for leafy vegetables; international; not legally binding.</t>
  </si>
  <si>
    <t>Fennel is classified in two classes, as defined: Class I, Class II.</t>
  </si>
  <si>
    <t>Sets UNECE classification requirements for leafy vegetables; international; not legally binding.</t>
  </si>
  <si>
    <t>Sets UNECE sizing requirements for  fennel; international; not legally binding.</t>
  </si>
  <si>
    <t>i) Class I A total tolerance of 10 percent, by number or weight, of fennel not satisfying the requirements of the class but meeting those of Class II is allowed.
ii) Class II
A total tolerance of 10 percent, by number or weight, of fennel satisfying neither the requirements of the class nor the minimum requirements is allowed.</t>
  </si>
  <si>
    <t>Sets UNECE quality tolerances requirements for  fennel; international; not legally binding.</t>
  </si>
  <si>
    <t>For all classes: A total tolerance of 10 percent, by number or weight, of fennel not satisfying the requirements as regards sizing is allowed.</t>
  </si>
  <si>
    <t>Sets UNECE size tolerances requirements for  fennel; international; not legally binding.</t>
  </si>
  <si>
    <t>The contents of each package must be uniform and contain only fennel of the same origin, variety or commercial type, quality, size and of appreciably the same shape.</t>
  </si>
  <si>
    <t>Sets UNECE uniformity requirements for  fennel; international; not legally binding.</t>
  </si>
  <si>
    <t>Fennel must be packed in such a way as to protect the produce properly.</t>
  </si>
  <si>
    <t>Sets UNECE packaging requirements for  fennel; international; not legally binding.</t>
  </si>
  <si>
    <t>Sets UNECE marking identification requirements for  fennel; international; not legally binding.</t>
  </si>
  <si>
    <r>
      <rPr>
        <b/>
        <sz val="12"/>
        <rFont val="Calibri"/>
        <family val="2"/>
        <scheme val="minor"/>
      </rPr>
      <t>UNECE Standard FFV-58 - Leafy vegetables</t>
    </r>
    <r>
      <rPr>
        <sz val="12"/>
        <rFont val="Calibri"/>
        <family val="2"/>
        <scheme val="minor"/>
      </rPr>
      <t xml:space="preserve">
PROVISIONS CONCERNING QUALITY - Minimum Requirements</t>
    </r>
  </si>
  <si>
    <t>Leafy vegetables</t>
  </si>
  <si>
    <t>The leafy vegetables must be: intact, sound, clean, free from pests and from damage, fresh in appearance and turgescent, not running to seed, except for broccoli raab, free of abnormal external moisture and any foreign smell and/or taste.</t>
  </si>
  <si>
    <t>https://unece.org/sites/default/files/2023-12/FFV-58_Leafy_vegetables_2023_e.pdf
https://unece.org/trade/wp7/FFV-Standards</t>
  </si>
  <si>
    <t>Leafy vegetables are classified in two classes, as defined: Class I, Class II.</t>
  </si>
  <si>
    <t xml:space="preserve">i) Class I
A total tolerance of 10 percent, by weight, of leafy vegetables not satisfying the requirements of the class but meeting those of Class II is allowed.
ii) Class II
A total tolerance of 10 percent, by weight, of leafy vegetables satisfying neither the requirements of the class nor the minimum requirements is allowed. </t>
  </si>
  <si>
    <t>Sets UNECE quality tolerances requirements for leafy vegetables; international; not legally binding.</t>
  </si>
  <si>
    <t>The contents of each package must be uniform and contain only leafy vegetables of the same origin, variety or commercial type and quality.</t>
  </si>
  <si>
    <t>Sets UNECE uniformity requirements for leafy vegetables; international; not legally binding.</t>
  </si>
  <si>
    <t>Leafy vegetables must be packed in such a way as to protect the produce properly.</t>
  </si>
  <si>
    <t>Sets UNECE packaging requirements for leafy vegetables; international; not legally binding.</t>
  </si>
  <si>
    <t>Sets UNECE marking identification requirements for leafy vegetables; international; not legally binding.</t>
  </si>
  <si>
    <r>
      <rPr>
        <b/>
        <sz val="12"/>
        <rFont val="Calibri"/>
        <family val="2"/>
        <scheme val="minor"/>
      </rPr>
      <t>UNECE Standard FFV-27 - Peas</t>
    </r>
    <r>
      <rPr>
        <sz val="12"/>
        <rFont val="Calibri"/>
        <family val="2"/>
        <scheme val="minor"/>
      </rPr>
      <t xml:space="preserve">
PROVISIONS CONCERNING QUALITY - Minimum Requirements</t>
    </r>
  </si>
  <si>
    <t>Peas</t>
  </si>
  <si>
    <t>The pods must be: intact, sound, clean, free of any visible foreign matter and from hard filaments or films, free from pests, free from damage, free of abnormal external moisture and of any foreign smell and/or taste the seeds must be: fresh, sound, normally developed in shelling peas, free from pests and from damage caused by pests, free of any foreign smell and/or taste.</t>
  </si>
  <si>
    <t>https://unece.org/sites/default/files/2023-12/FFV-27_Peas_2023_e.pdf
https://unece.org/trade/wp7/FFV-Standards</t>
  </si>
  <si>
    <t>Sets UNECE minimum requirements for peas; international; not legally binding.</t>
  </si>
  <si>
    <t>Peas are classified in two classes, as defined: Class I, Class II.</t>
  </si>
  <si>
    <t>Sets UNECE classification requirements for peas; international; not legally binding.</t>
  </si>
  <si>
    <t>i) Class I
A total tolerance of 10 per cent, by number or weight, of peas not satisfying the requirements of the class but meeting those of Class II is allowed.
ii) Class II
A total tolerance of 10 per cent, by number or weight, of peas satisfying neither the requirements of the class nor the minimum requirements is allowed.</t>
  </si>
  <si>
    <t>Sets UNECE quality tolerances requirements for peas; international; not legally binding.</t>
  </si>
  <si>
    <t>The contents of each package must be uniform and contain only peas of the same origin, variety or commercial type and quality.</t>
  </si>
  <si>
    <t>Sets UNECE uniformity requirements for peas; international; not legally binding.</t>
  </si>
  <si>
    <t>Peas must be packed in such a way as to protect the produce properly.</t>
  </si>
  <si>
    <t>Sets UNECE packaging requirements for peas; international; not legally binding.</t>
  </si>
  <si>
    <t>Sets UNECE marking identification requirements for peas; international; not legally binding.</t>
  </si>
  <si>
    <r>
      <rPr>
        <b/>
        <sz val="12"/>
        <rFont val="Calibri"/>
        <family val="2"/>
        <scheme val="minor"/>
      </rPr>
      <t>UNECE Standard FFV-63 - Persimmons</t>
    </r>
    <r>
      <rPr>
        <sz val="12"/>
        <rFont val="Calibri"/>
        <family val="2"/>
        <scheme val="minor"/>
      </rPr>
      <t xml:space="preserve">
PROVISIONS CONCERNING QUALITY - Minimum Requirements</t>
    </r>
  </si>
  <si>
    <t>Persimmons</t>
  </si>
  <si>
    <t>The persimmons must be: intact, with the calyx attached, sound, clean, free from pests, free from damage, free of abnormal external moisture and of any foreign smell and/or taste.</t>
  </si>
  <si>
    <t>https://unece.org/sites/default/files/2024-03/FFV-63_Persimmons_2023_e.pdf
https://unece.org/DAM/trade/Publications/ECE_TRADE_417E_Persimmons.pdf</t>
  </si>
  <si>
    <t>Sets UNECE minimum requirements for persimmons; international; not legally binding.</t>
  </si>
  <si>
    <t>Persimmons are classified in three classes, as defined: “Extra” Class, Class I, Class II.</t>
  </si>
  <si>
    <t>Sets UNECE classification requirements for persimmons; international; not legally binding.</t>
  </si>
  <si>
    <t>The development and state of maturity of the persimmons must be such as to enable them to continue their ripening process and to reach a satisfactory degree of ripeness.</t>
  </si>
  <si>
    <t>Sets UNECE maturity requirements for persimmons; international; not legally binding.</t>
  </si>
  <si>
    <t>Size is determined by the maximum diameter of the equatorial section, by the weight of the fruit or by count of fruit per package.</t>
  </si>
  <si>
    <t>Sets UNECE sizing requirements for persimmons; international; not legally binding.</t>
  </si>
  <si>
    <t>i) “Extra” Class A total tolerance of 5 percent, by number or weight, of persimmons not satisfying the requirements of the class but meeting those of Class I is allowed.
ii) Class I
A total tolerance of 10 percent, by number or weight, of persimmons not satisfying the requirements of the class but meeting those of Class II is allowed.
iii) Class II
A total tolerance of 10 percent, by number or weight, of persimmons satisfying neither the requirements of the class nor the minimum requirements is allowed.</t>
  </si>
  <si>
    <t>Sets UNECE quality tolerances requirements for persimmons; international; not legally binding.</t>
  </si>
  <si>
    <t>For all classes (if sized): A total tolerance of 10 percent, by number or weight, of persimmons not satisfying the requirements as regards sizing is allowed.</t>
  </si>
  <si>
    <t>Sets UNECE size tolerances requirements for persimmons; international; not legally binding.</t>
  </si>
  <si>
    <t>The contents of each package must be uniform and contain only persimmons of the same origin, variety, quality and size (if sized).</t>
  </si>
  <si>
    <t>Sets UNECE uniformity requirements for persimmons; international; not legally binding.</t>
  </si>
  <si>
    <t>The persimmons must be packed in such a way as to protect the produce properly.</t>
  </si>
  <si>
    <t>Sets UNECE packaging requirements for persimmons; international; not legally binding.</t>
  </si>
  <si>
    <t>Sets UNECE marking identification requirements for persimmons; international; not legally binding.</t>
  </si>
  <si>
    <r>
      <rPr>
        <b/>
        <sz val="12"/>
        <rFont val="Calibri"/>
        <family val="2"/>
        <scheme val="minor"/>
      </rPr>
      <t>UNECE Standard FFV-62 - Quince</t>
    </r>
    <r>
      <rPr>
        <sz val="12"/>
        <rFont val="Calibri"/>
        <family val="2"/>
        <scheme val="minor"/>
      </rPr>
      <t xml:space="preserve">
PROVISIONS CONCERNING QUALITY - Minimum Requirements</t>
    </r>
  </si>
  <si>
    <t>Quince</t>
  </si>
  <si>
    <t>The quince must be: intact, sound, clean, fresh in appearance, free from pests and from damage caused by pests affecting the flesh, free of abnormal external moisture and of any foreign smell and/or taste.</t>
  </si>
  <si>
    <t>https://unece.org/sites/default/files/2024-03/FFV-62_Quince_2023_e.pdf
https://unece.org/trade/wp7/FFV-Standards</t>
  </si>
  <si>
    <t>Sets UNECE minimum requirements for quince; international; not legally binding.</t>
  </si>
  <si>
    <t>The development and state of maturity of the quince must be such as to enable them to continue their ripening process and to reach a satisfactory degree of ripeness.</t>
  </si>
  <si>
    <t>Sets UNECE maturity requirements for quince; international; not legally binding.</t>
  </si>
  <si>
    <t>Quince are classified in three classes, defined as: "Extra Class, Class I, Class II.</t>
  </si>
  <si>
    <t>Sets UNECE classification requirements for quince; international; not legally binding.</t>
  </si>
  <si>
    <t>Size is determined by the maximum diameter of the equatorial section or by weight.</t>
  </si>
  <si>
    <t>Sets UNECE sizing requirements for quince; international; not legally binding.</t>
  </si>
  <si>
    <t>i) “Extra” Class A total tolerance of 5 percent, by number or weight, of quince not satisfying the requirements of the class but meeting those of Class I is allowed.
ii) Class I
A total tolerance of 10 percent, by number or weight, of quince not satisfying the requirements of the class but meeting those of Class II is allowed.
iii) Class II
A total tolerance of 10 percent, by number or weight, of quince satisfying neither the requirements of the class nor the minimum requirements is allowed.</t>
  </si>
  <si>
    <t>Sets UNECE quality tolerances requirements for quince; international; not legally binding.</t>
  </si>
  <si>
    <t>For all classes (if sized): A total tolerance of 10 percent, by number or weight, of quince not satisfying the requirements as regards sizing is allowed.</t>
  </si>
  <si>
    <t>Sets UNECE size tolerances requirements for quince; international; not legally binding.</t>
  </si>
  <si>
    <t>The contents of each package of quince must be uniform and 
contain only quince of the same origin, variety, quality and size (if sized).</t>
  </si>
  <si>
    <t>Sets UNECE uniformity requirements for quince; international; not legally binding.</t>
  </si>
  <si>
    <t>The quince must be packed in such a way as to protect the produce properly.</t>
  </si>
  <si>
    <t>Sets UNECE packaging requirements for quince; international; not legally binding.</t>
  </si>
  <si>
    <t>Sets UNECE marking identification requirements for quince; international; not legally binding.</t>
  </si>
  <si>
    <r>
      <rPr>
        <b/>
        <sz val="12"/>
        <rFont val="Calibri"/>
        <family val="2"/>
        <scheme val="minor"/>
      </rPr>
      <t>UNECE Standard FFV-12 - Ribbed celery</t>
    </r>
    <r>
      <rPr>
        <sz val="12"/>
        <rFont val="Calibri"/>
        <family val="2"/>
        <scheme val="minor"/>
      </rPr>
      <t xml:space="preserve">
PROVISIONS CONCERNING QUALITY - Minimum Requirements</t>
    </r>
  </si>
  <si>
    <t>Ribbed celery</t>
  </si>
  <si>
    <t>The ribbed celery must be: intact, sound, clean, free of any visible foreign matter, fresh in appearance, free from pests and from damage, free of cavities, suckers and flower stems, free of abnormal external moisture, i.e. adequately “dried”, if washed and of any foreign smell and/or taste.</t>
  </si>
  <si>
    <t>https://unece.org/sites/default/files/2024-03/FFV-12_Ribbed_celery_2023_e.pdf
https://unece.org/trade/wp7/FFV-Standards</t>
  </si>
  <si>
    <t>Sets UNECE minimum requirements for ribbed celery; international; not legally binding.</t>
  </si>
  <si>
    <t>Ribbed celery is classified in two classes, as defined:
Class I, Class II.</t>
  </si>
  <si>
    <t>Sets UNECE classification requirements for ribbed celery; international; not legally binding.</t>
  </si>
  <si>
    <t>Size is determined by the weight of the unit.</t>
  </si>
  <si>
    <t>Sets UNECE sizing requirements for ribbed celery; international; not legally binding.</t>
  </si>
  <si>
    <t>i) Class I A total tolerance of 10 percent by number or weight, of ribbed celery not satisfying the requirements of the class, but meeting those of Class II is allowed.
ii) Class II
A total tolerance of 10 percent by number or weight, of ribbed celery satisfying neither the requirements of the class nor the minimum requirements is allowed.</t>
  </si>
  <si>
    <t>Sets UNECE quality tolerances requirements for ribbed celery; international; not legally binding.</t>
  </si>
  <si>
    <t>For all classes (if sized): A total tolerance of 10 percent, by number or weight, of ribbed celery not satisfying the requirements as regards sizing is allowed.</t>
  </si>
  <si>
    <t>Sets UNECE size tolerances requirements for ribbed celery; international; not legally binding.</t>
  </si>
  <si>
    <t>The contents of each package must be uniform and contain only ribbed celery of the same origin, variety or commercial type, quality, colour and size (if sized).</t>
  </si>
  <si>
    <t>Sets UNECE uniformity requirements for ribbed celery; international; not legally binding.</t>
  </si>
  <si>
    <t>Ribbed celery must be packed in such a way as to protect the produce properly.</t>
  </si>
  <si>
    <t>Sets UNECE packaging requirements for ribbed celery; international; not legally binding.</t>
  </si>
  <si>
    <t>Sets UNECE marking identification requirements for ribbed celery; international; not legally binding.</t>
  </si>
  <si>
    <r>
      <rPr>
        <b/>
        <sz val="12"/>
        <rFont val="Calibri"/>
        <family val="2"/>
        <scheme val="minor"/>
      </rPr>
      <t>UNECE Standard FFV-39 - Sweet Chestnuts</t>
    </r>
    <r>
      <rPr>
        <sz val="12"/>
        <rFont val="Calibri"/>
        <family val="2"/>
        <scheme val="minor"/>
      </rPr>
      <t xml:space="preserve">
PROVISIONS CONCERNING QUALITY - Minimum Requirements</t>
    </r>
  </si>
  <si>
    <t>Sweet Chestnuts</t>
  </si>
  <si>
    <t>The sweet chestnuts must be: intact, sound, clean, free of any visible foreign matter, free from pests and from damage caused by pests, free of shrivelling or drying out, free of externally visible sprouting, free of abnormal external moisture and of any foreign smell and/or taste.</t>
  </si>
  <si>
    <t>https://unece.org/sites/default/files/2023-12/FFV-39_Sweet_Chestnuts_2023_e.pdf
https://unece.org/trade/wp7/FFV-Standards</t>
  </si>
  <si>
    <t>Sets UNECE minimum requirements for sweet chestnuts; international; not legally binding.</t>
  </si>
  <si>
    <t>Sweet chestnuts are classified in three classes, as defined: “Extra” Class, Class I, Class II.</t>
  </si>
  <si>
    <t>Sets UNECE classification requirements for sweet chestnuts; international; not legally binding.</t>
  </si>
  <si>
    <t>Size is determined by the number of nuts per kg or by diameter 
i.e. the diameter of each nut or a diameter range.</t>
  </si>
  <si>
    <t>Sets UNECE sizing requirements for sweet chestnuts; international; not legally binding.</t>
  </si>
  <si>
    <t>PROVISIONS CONCERNING TOLERANCES - Quality &amp; size tolerances</t>
  </si>
  <si>
    <t>At all marketing stages, tolerances in respect of quality and size shall be allowed in each lot for produce not satisfying the requirements of the class indicated.</t>
  </si>
  <si>
    <t>Sets UNECE quality &amp; size tolerances requirements for sweet chestnuts; international; not legally binding.</t>
  </si>
  <si>
    <t>The contents of each package must be uniform and contain only sweet chestnuts of the same origin, variety or commercial type, quality and size and appreciably of the same degree of development.</t>
  </si>
  <si>
    <t>Sets UNECE uniformity requirements for sweet chestnuts; international; not legally binding.</t>
  </si>
  <si>
    <t>Sweet chestnuts must be packed in such a way as to protect the produce properly.</t>
  </si>
  <si>
    <t>Sets UNECE packaging requirements for sweet chestnuts; international; not legally binding.</t>
  </si>
  <si>
    <t>Sets UNECE marking identification requirements for sweet chestnuts; international; not legally binding.</t>
  </si>
  <si>
    <r>
      <rPr>
        <b/>
        <sz val="12"/>
        <rFont val="Calibri"/>
        <family val="2"/>
        <scheme val="minor"/>
      </rPr>
      <t>UNECE Standard FFV-53 - Truffles</t>
    </r>
    <r>
      <rPr>
        <sz val="12"/>
        <rFont val="Calibri"/>
        <family val="2"/>
        <scheme val="minor"/>
      </rPr>
      <t xml:space="preserve">
PROVISIONS CONCERNING QUALITY - Minimum Requirements</t>
    </r>
  </si>
  <si>
    <t>Truffles</t>
  </si>
  <si>
    <t>The truffles must be: intact, firm, sound, clean, free of any visible foreign matter, positively identifiable, free from pests and from damage, free of abnormal external moisture and of any foreign smell and/or taste.</t>
  </si>
  <si>
    <t>https://unece.org/sites/default/files/2024-03/FFV-53_Truffles_2023_e.pdf
https://unece.org/trade/wp7/FFV-Standards</t>
  </si>
  <si>
    <t>Sets UNECE minimum requirements for truffles; international; not legally binding.</t>
  </si>
  <si>
    <t>The truffles must be sufficiently developed and display satisfactory maturity and/or ripeness.</t>
  </si>
  <si>
    <t>Sets UNECE maturity requirements for truffles; international; not legally binding.</t>
  </si>
  <si>
    <t>Truffles are classified in three classes: "Extra" Class, Class I, Class II.</t>
  </si>
  <si>
    <t>Sets UNECE classification requirements for truffles; international; not legally binding.</t>
  </si>
  <si>
    <t>Size is determined by the weight of the truffle.</t>
  </si>
  <si>
    <t>Sets UNECE sizing requirements for truffles; international; not legally binding.</t>
  </si>
  <si>
    <t>i) “Extra” Class A total tolerance of 2 percent, by weight, of truffles not satisfying the requirements of the class but meeting those of Class I is allowed.
ii) Class I
A total tolerance of 5 percent, by weight, of truffles not satisfying the requirements of the class but meeting those of Class II is allowed.
iii) Class II
A total tolerance of 10 percent, by weight, of truffles satisfying neither the requirements of the class nor the minimum requirements is allowed.</t>
  </si>
  <si>
    <t>Sets UNECE quality tolerances requirements for truffles; international; not legally binding.</t>
  </si>
  <si>
    <t>For all classes: A total tolerance of 10 percent, by weight, of truffles not satisfying the requirements as regards sizing is allowed.</t>
  </si>
  <si>
    <t>Sets UNECE size tolerances requirements for truffles; international; not legally binding.</t>
  </si>
  <si>
    <t>The contents of each package must be uniform and contain only truffles of the same origin, species, quality, size (if sized), maturity, development, and colouring.</t>
  </si>
  <si>
    <t>Sets UNECE uniformity requirements for truffles; international; not legally binding.</t>
  </si>
  <si>
    <t>The truffles must be packed in such a way as to protect the produce properly.</t>
  </si>
  <si>
    <t>Sets UNECE packaging requirements for truffles; international; not legally binding.</t>
  </si>
  <si>
    <t>Sets UNECE marking identification requirements for truffles; international; not legally binding.</t>
  </si>
  <si>
    <r>
      <rPr>
        <b/>
        <sz val="12"/>
        <rFont val="Calibri"/>
        <family val="2"/>
        <scheme val="minor"/>
      </rPr>
      <t>UNECE Standard FFV-49 - Pineapples</t>
    </r>
    <r>
      <rPr>
        <sz val="12"/>
        <rFont val="Calibri"/>
        <family val="2"/>
        <scheme val="minor"/>
      </rPr>
      <t xml:space="preserve">
PROVISIONS CONCERNING QUALITY - Minimum Requirements</t>
    </r>
  </si>
  <si>
    <t>Pineapples</t>
  </si>
  <si>
    <t>The pineapples must be: intact, sound, clean, free of any visible foreign matter, free from pests, free from damage caused by pests affecting the flesh, fresh in appearance, including the crown, free of abnormal external moisture and any foreign smell and/or taste.</t>
  </si>
  <si>
    <t>https://unece.org/sites/default/files/2024-03/FFV-49_Pineapples_2023_e.pdf
https://unece.org/DAM/trade/Publications/ECE_TRADE_398E_PineappleBrochure.pdf</t>
  </si>
  <si>
    <t>Sets UNECE maturity requirements for pineapples; international; not legally binding.</t>
  </si>
  <si>
    <t>The pineapples must be sufficiently developed and display satisfactory maturity and/or ripeness, in accordance with criteria proper to the variety and to the area in which they are grown.</t>
  </si>
  <si>
    <t>Pineapples are classified in three classes, as defined: “Extra” Class, Class I, Class II</t>
  </si>
  <si>
    <t>Sets UNECE classification requirements for pineapples; international; not legally binding.</t>
  </si>
  <si>
    <t>Size is determined by weight.</t>
  </si>
  <si>
    <t>Sets UNECE sizing requirements for pineapples; international; not legally binding.</t>
  </si>
  <si>
    <t>i) “Extra” Class A total tolerance of 5 percent, by number or weight, of pineapples not satisfying the requirements of the class but meeting those of Class I is allowed.
ii) Class I
A total tolerance of 10 percent, by number or weight, of pineapples not satisfying the requirements of the class but meeting those of Class II is allowed.
iii) Class II
A total tolerance of 10 percent, by number or weight, of pineapples satisfying neither the requirements of the class nor the minimum requirements is allowed.</t>
  </si>
  <si>
    <t>Sets UNECE quality tolerances requirements for pineapples; international; not legally binding.</t>
  </si>
  <si>
    <t>For all classes: A total tolerance of 20 percent, by number or weight, of pineapples not satisfying the requirements as regards sizing is allowed.</t>
  </si>
  <si>
    <t>Sets UNECE size tolerances requirements for pineapples; international; not legally binding.</t>
  </si>
  <si>
    <t>The contents of each package must be uniform and contain only pineapples, with or without crowns, of the same origin, variety, quality and size.</t>
  </si>
  <si>
    <t>Sets UNECE uniformity requirements for pineapples; international; not legally binding.</t>
  </si>
  <si>
    <t>Pineapples must be packed in such a way as to protect the produce properly.</t>
  </si>
  <si>
    <t>Sets UNECE packaging requirements for pineapples; international; not legally binding.</t>
  </si>
  <si>
    <t>Sets UNECE marking identification requirements for pineapples; international; not legally binding.</t>
  </si>
  <si>
    <r>
      <rPr>
        <b/>
        <sz val="12"/>
        <rFont val="Calibri"/>
        <family val="2"/>
        <scheme val="minor"/>
      </rPr>
      <t>UNECE Standard FFV-40 - Rhubarb</t>
    </r>
    <r>
      <rPr>
        <sz val="12"/>
        <rFont val="Calibri"/>
        <family val="2"/>
        <scheme val="minor"/>
      </rPr>
      <t xml:space="preserve">
PROVISIONS CONCERNING QUALITY - Minimum Requirements</t>
    </r>
  </si>
  <si>
    <t>Rhubarb</t>
  </si>
  <si>
    <t>The rhubarb must be: intact, sound, clean, free of any visible foreign matter, fresh in appearance, free from pests, free from damage caused by pests, turgid, smooth and not excessively fibrous, unbruised, of a colour characteristic of the mode of cultivation, free of abnormal external moisture, free of any foreign smell and/or taste.</t>
  </si>
  <si>
    <t>https://unece.org/sites/default/files/2024-03/FFV-40_Rhubarb_2023_e.pdf
https://unece.org/trade/wp7/FFV-Standards</t>
  </si>
  <si>
    <t>Sets UNECE minimum requirements for rhubarb; international; not legally binding.</t>
  </si>
  <si>
    <t xml:space="preserve">Rhubarb is classified in two classes, as defined: Class I, Class II
</t>
  </si>
  <si>
    <t>Sets UNECE classification requirements for rhubarb; international; not legally binding.</t>
  </si>
  <si>
    <t>Size is determined by the length and by the diameter of the leaf-stalks measured at the midpoint of their length.</t>
  </si>
  <si>
    <t>Sets UNECE sizing requirements for rhubarb; international; not legally binding.</t>
  </si>
  <si>
    <t>i) Class I
A total tolerance of 10 percent, by number or weight, of rhubarb not satisfying the requirements of the class but meeting those of Class II is allowed.
ii) Class II
A total tolerance of 10 percent, by number or weight, of rhubarb satisfying neither the requirements of the class nor the minimum requirements, is allowed.</t>
  </si>
  <si>
    <t>Sets UNECE quality tolerances requirements for rhubarb; international; not legally binding.</t>
  </si>
  <si>
    <t xml:space="preserve">For all classes: A total tolerance of 10 percent, by number or weight, of rhubarb not satisfying the requirements as regards sizing is allowed. </t>
  </si>
  <si>
    <t>Sets UNECE size tolerances requirements for rhubarb; international; not legally binding.</t>
  </si>
  <si>
    <t>The contents of each package or each bundle in the same package must be uniform and contain only rhubarb of the same origin, variety or commercial type, mode of cultivation and quality.</t>
  </si>
  <si>
    <t>Sets UNECE uniformity requirements for rhubarb; international; not legally binding.</t>
  </si>
  <si>
    <t>The rhubarb must be packed in such a way as to protect the produce properly.</t>
  </si>
  <si>
    <t>Sets UNECE packaging requirements for rhubarb; international; not legally binding.</t>
  </si>
  <si>
    <t>Sets UNECE marking identification requirements for rhubarb; international; not legally binding.</t>
  </si>
  <si>
    <r>
      <rPr>
        <b/>
        <sz val="12"/>
        <rFont val="Calibri"/>
        <family val="2"/>
        <scheme val="minor"/>
      </rPr>
      <t>UNECE Standard FFV-23 - Melons</t>
    </r>
    <r>
      <rPr>
        <sz val="12"/>
        <rFont val="Calibri"/>
        <family val="2"/>
        <scheme val="minor"/>
      </rPr>
      <t xml:space="preserve">
PROVISIONS CONCERNING QUALITY - Minimum Requirements</t>
    </r>
  </si>
  <si>
    <t>The melons must be: intact, sound, clean, practically free of any visible foreign matter, fresh in appearance, free from pests, from damage caused by pests affecting the flesh, firm, free of abnormal external moisture,  free of any foreign smell and/or taste.</t>
  </si>
  <si>
    <t>https://unece.org/sites/default/files/2024-03/FFV-23_Melons_2023_e.pdf
https://unece.org/trade/wp7/FFV-Standards</t>
  </si>
  <si>
    <t>Sets UNECE minimum requirements for melons; international; not legally binding.</t>
  </si>
  <si>
    <t>The melons must be sufficiently developed and display satisfactory maturity and/or ripeness. In order to satisfy this requirement the refractometric index of the flesh measured at the middle point of the fruit flesh and at the equatorial section must be equal to or greater than 10° Brix for Charentais type melons and 8° Brix for other melons.</t>
  </si>
  <si>
    <t>Sets UNECE maturity requirements for melons; international; not legally binding.</t>
  </si>
  <si>
    <t>Melons are classified in two classes, as defined: Class I, Class II.</t>
  </si>
  <si>
    <t>Sets UNECE classification requirements for melons; international; not legally binding.</t>
  </si>
  <si>
    <t>Sets UNECE sizing requirements for melons; international; not legally binding.</t>
  </si>
  <si>
    <t>i) Class I A total tolerance of 10 percent, by number or weight, of melons not satisfying the requirements of the class but meeting those of Class II is allowed.
ii) Class II
A total tolerance of 10 percent, by number or weight, of melons satisfying neither the requirements of the class nor the minimum requirements is allowed.</t>
  </si>
  <si>
    <t>Sets UNECE quality tolerances requirements for melons; international; not legally binding.</t>
  </si>
  <si>
    <t xml:space="preserve">For all classes: A total tolerance of 10 per cent, by number or weight, of melons not satisfying the requirements as regards sizing is allowed.
</t>
  </si>
  <si>
    <t>Sets UNECE size tolerances requirements for melons; international; not legally binding.</t>
  </si>
  <si>
    <t>Sets UNECE uniformity requirements for melons; international; not legally binding.</t>
  </si>
  <si>
    <t>Melons must be packed in such a way as to protect the produce properly.</t>
  </si>
  <si>
    <t>Sets UNECE packaging requirements for melons; international; not legally binding.</t>
  </si>
  <si>
    <t>Sets UNECE marking identification requirements for melons; international; not legally binding.</t>
  </si>
  <si>
    <r>
      <rPr>
        <b/>
        <sz val="12"/>
        <rFont val="Calibri"/>
        <family val="2"/>
        <scheme val="minor"/>
      </rPr>
      <t>UNECE Standard FFV-60 - Lambs Lettuce</t>
    </r>
    <r>
      <rPr>
        <sz val="12"/>
        <rFont val="Calibri"/>
        <family val="2"/>
        <scheme val="minor"/>
      </rPr>
      <t xml:space="preserve">
PROVISIONS CONCERNING QUALITY - Minimum Requirements</t>
    </r>
  </si>
  <si>
    <t>Lambs lettuce</t>
  </si>
  <si>
    <t>lambs lettuce must be: intact, sound, clean, free of any visible foreign matter; however, unwashed lambs lettuce may have traces of earth or other growing material, free from pests and damage caused by pests, fresh in appearance and turgid, not running to seed, free of abnormal external moisture and of any foreign smell and/or taste.</t>
  </si>
  <si>
    <t>https://unece.org/sites/default/files/2024-03/FFV-60_Lambs_lettuce_2023_e.pdf
https://unece.org/trade/wp7/FFV-Standards</t>
  </si>
  <si>
    <t>Sets UNECE minimum requirements for lambs lettuce; international; not legally binding.</t>
  </si>
  <si>
    <t>Lambs lettuce is classified in two classes, as defined: Class I, Class II</t>
  </si>
  <si>
    <t>Sets UNECE classification requirements for lambs lettuce; international; not legally binding.</t>
  </si>
  <si>
    <t xml:space="preserve">
i) Class I
A total tolerance of 10 percent, by number of rosettes or weight, of lambs lettuce not satisfying the requirements of the class but meeting those of Class II is allowed.
ii) Class II
A total tolerance of 10 percent, by number of rosettes or weight, of lambs lettuce satisfying neither the requirements of the class nor the minimum requirements is allowed.</t>
  </si>
  <si>
    <t>Sets UNECE quality tolerances requirements for lambs lettuce; international; not legally binding.</t>
  </si>
  <si>
    <t>The contents of each package must be uniform and contain only lambs lettuce of the same origin, variety or commercial type and quality.</t>
  </si>
  <si>
    <t>Sets UNECE uniformity requirements for lambs lettuce; international; not legally binding.</t>
  </si>
  <si>
    <t>Lambs lettuce must be packed in such a way as  to protect the produce properly.</t>
  </si>
  <si>
    <t>Sets UNECE packaging requirements for lambs lettuce; international; not legally binding.</t>
  </si>
  <si>
    <t>Each package must bear the following particulars:
- Identification
- Nature of produce
- Origin of produce
- Commercial specifications</t>
  </si>
  <si>
    <t>Sets UNECE marking identification requirements for lambs lettuce; international; not legally binding.</t>
  </si>
  <si>
    <t>The UNECE Minimum Quality Specifications for Fresh Fruit and Vegetables are developed by the United Nations to provide a simple trading language which is to apply when trading fresh fruits and vegetables. It has the focus of supplying safety and qualitative food. It values as a minimum marketing quality which can be also used by countries where no national quality standard exists. </t>
  </si>
  <si>
    <t>https://unece.org/sites/default/files/2023-07/FFV-MinimumQuality_2020_e.pdf</t>
  </si>
  <si>
    <t>https://unece.org/sites/default/files/2023-07/SL_FFV_2021_e_final.pdf</t>
  </si>
  <si>
    <t>Regulation (EU) No. 1308/2013 establishes a common organization of the markets for agricultural products.
Agricultural products covered by this Regulation include cereals, rice, sugar, seed, olive oils and table olives, fruits and vegetables, wine, tobacco and milk, beef and veal.</t>
  </si>
  <si>
    <t>Cereals, Eggs, Beef, Pork, Fruits &amp; Vegetables</t>
  </si>
  <si>
    <t xml:space="preserve">Fruits &amp; Vegetables, Bovine, Pork, Eggs, Cereals </t>
  </si>
  <si>
    <t>A, D, E, B</t>
  </si>
  <si>
    <t>Classification concerning quality and weight, determination of the egg segment, labelling (eggs). Classification concerning quality and marketing years adapted as far as possible to the biological production cycle (cereals).</t>
  </si>
  <si>
    <t>https://eur-lex.europa.eu/LexUriServ/LexUriServ.do?uri=OJ:L:2013:347:0671:0854:EN:PDF</t>
  </si>
  <si>
    <t>Establishes a common organization of the markets for agricultural products; applied in the EU; legally binding.</t>
  </si>
  <si>
    <t>Delegated Regulation (EU) of 17.08.2023 supplementing Regulation (EU) No 1308/2013 of the European Parliament and of the Council as regards marketing standards for the fruit and vegetables sector, certain processed fruit and vegetable products and the bananas sector, and repealing Commission Regulation (EC) No 1666/1999 and Commission Implementing Regulations (EU) No 543/2011 and (EU) No 1333/2011</t>
  </si>
  <si>
    <t>D, E</t>
  </si>
  <si>
    <t>Primary Production, Processing &amp; Manufacturing, Retail and Other Distribution</t>
  </si>
  <si>
    <t>The purpose of this delegated act is to align the existing Commission regulations on marketing standards for fruit and vegetables and bananas to the empowerments of the CMO Regulation, which are based on the legal framework for empowerments introduced by the Lisbon Treaty, Commission Implementing Regulation (EU) No 543/2011, Commission Implementing Regulation (EU) No 1333/2011 and Commission Regulation (EC) No 1666/1999 should be repealed and replaced by a Delegated and an Implementing Act in line with Articles 290 and 291 of the Treaty on the Function of the European Union (TFEU).
Another purpose of this delegated act is the alignment with the objectives of the Farm to Fork Strategy, regarding in particular increased information for consumers and reduction of food waste. It is also an opportunity to modernize and simplify the rules by merging fruit and vegetables legislation with banana and dried grapes legislation, and deleting obsolete provisions. 
Also, this delegated act amends the existing marketing standards in line with several amendments to the quality standards of the United Nations Economic Commission for Europe (UNECE). In particular, in order to avoid unnecessary barriers to trade, the specific standards for strawberries should be aligned with the UNECE standards.</t>
  </si>
  <si>
    <t>https://eur-lex.europa.eu/legal-content/EN/TXT/HTML/?uri=PI_COM:C(2023)5448</t>
  </si>
  <si>
    <t>F&amp;V legislation alignment; applied in the EU; legally binding.</t>
  </si>
  <si>
    <t>Regulation (EU) No 1379/2013 of the European Parliament and of the council on the common organisation of the markets in fishery and aquaculture products, amending Council Regulations (EC) No. 1184/2006 and (EC) No. 1224/2009 and repealing Council Regulation (EC) No. 104/2000</t>
  </si>
  <si>
    <t>Fishery and aquaculture products</t>
  </si>
  <si>
    <t>Labelling requirements.</t>
  </si>
  <si>
    <t>https://eur-lex.europa.eu/legal-content/EN/TXT/?uri=celex%3A32013R1379</t>
  </si>
  <si>
    <t>Labelling requirements for fishery and aquaculture products; applied in the EU; legally binding.</t>
  </si>
  <si>
    <r>
      <t>Council Regulation (EC) No.</t>
    </r>
    <r>
      <rPr>
        <b/>
        <sz val="12"/>
        <rFont val="Calibri"/>
        <family val="2"/>
        <scheme val="minor"/>
      </rPr>
      <t xml:space="preserve"> </t>
    </r>
    <r>
      <rPr>
        <sz val="12"/>
        <rFont val="Calibri"/>
        <family val="2"/>
        <scheme val="minor"/>
      </rPr>
      <t>2406/1996</t>
    </r>
    <r>
      <rPr>
        <b/>
        <sz val="12"/>
        <rFont val="Calibri"/>
        <family val="2"/>
        <scheme val="minor"/>
      </rPr>
      <t xml:space="preserve"> </t>
    </r>
    <r>
      <rPr>
        <sz val="12"/>
        <rFont val="Calibri"/>
        <family val="2"/>
        <scheme val="minor"/>
      </rPr>
      <t>laying down common marketing standards for certain fishery products</t>
    </r>
  </si>
  <si>
    <t>Freshness and size requirements.</t>
  </si>
  <si>
    <t>https://eur-lex.europa.eu/legal-content/EN/ALL/?uri=CELEX%3A31996R2406</t>
  </si>
  <si>
    <t>Size requirements for fishery and aquaculture products; applied in the EU; legally binding.</t>
  </si>
  <si>
    <t xml:space="preserve">Commission Delegated Regulation (EU) 2016/1238 of 18 May 2016 supplementing Regulation (EU) No 1308/2013 of the European Parliament and of the Council with regard to public intervention and aid for private storage </t>
  </si>
  <si>
    <t>I</t>
  </si>
  <si>
    <t>This Regulation sets out requirements for intervention storage places in Article 7 and paying agencies shall ensure that storage places are suitable for the storage and keeping in good condition of the products bought-in, including storage temperature.</t>
  </si>
  <si>
    <t>https://eur-lex.europa.eu/legal-content/en/TXT/?uri=CELEX%3A32016R1238</t>
  </si>
  <si>
    <t>Yes - research and innovation in storage, including temperature management.</t>
  </si>
  <si>
    <t>Storage regulations; applied in the EU; legally binding.</t>
  </si>
  <si>
    <t>Commission Regulation (EC) No 543/2008 of 16 June 2008 laying down detailed rules for the application of Council Regulation (EC) No 1234/2007 as regards the marketing standards for poultrymeat</t>
  </si>
  <si>
    <t>The standard is not only for primary production, but also for retail; forms of fixtures for sale, impeccable storage and distribution practices for frozen poultry, classification in commercial classes A and B, labelling. The EU standard is used in Germany without any additional requirements.</t>
  </si>
  <si>
    <t>https://eur-lex.europa.eu/legal-content/en/ALL/?uri=CELEX%3A32008R0543</t>
  </si>
  <si>
    <t>Sets marketing standards for poultry meat; applied in the EU; legally binding.</t>
  </si>
  <si>
    <t>Council Regulation (EU) No 44/2012 of 17 January 2012 fixing for 2012 the fishing opportunities available in EU waters and, to EU vessels, in certain non-EU waters for certain fish stocks and groups of fish stocks which are subject to international negotiations or agreements.</t>
  </si>
  <si>
    <t xml:space="preserve">
Acts: Council Regulation (EU) No 44/2012 of 17 January 2012.
Council Regulation (EU) No 43/2012 of 17 January 2012.
Council Regulation (EC) No 43/2009 of 16 January 2009.
Council Regulation (EC) No 850/98 of 30 March 1998.
Description: These Regulations fix for their respective year the fishing opportunities available in EU waters and, to EU vessels, in certain non-EU waters for certain fish stocks and groups of fish stocks that are subject to international negotiations or agreements. Moreover, these Regulations set the minimum landing size of fish.</t>
  </si>
  <si>
    <t>The fishing opportunities referred to in the Regulations include catch limits for the respective year; in the text the ‘total allowable catch’ (TAC) is defined as the quantity that can be taken and landed from each fish stock every year. Considering that each Member State has an allocated quota (a proportion of the TAC), when a catch exceeds the limit, the fish have to be discarded. This rule can lead to food waste because the fish thrown back into the sea often do not survive. Consequently, this act can be classified as implying or potentially implying food waste generation.</t>
  </si>
  <si>
    <t>https://www.eu-fusions.org/index.php/download?download=161:review-of-eu-legislation-and-policies-with-implications-on-food-waste
https://eur-lex.europa.eu/legal-content/EN/TXT/?uri=CELEX%3A32012R0044
https://eur-lex.europa.eu/legal-content/EN/TXT/?uri=CELEX%3A32012R0043
https://eur-lex.europa.eu/legal-content/EN/TXT/?uri=CELEX%3A32009R0043</t>
  </si>
  <si>
    <t>Rules and quotas on fishing, fishing rules; applied in the EU; legally binding.</t>
  </si>
  <si>
    <t>Council Regulation (EC) No 43/2009 of 16 January 2009 fixing for 2009 the fishing opportunities and associated conditions for certain fish stocks and groups of fish stocks, applicable in Community waters and, for Community vessels, in waters where catch limitations are required</t>
  </si>
  <si>
    <t>https://eur-lex.europa.eu/legal-content/EN/TXT/?uri=CELEX%3A32009R0043</t>
  </si>
  <si>
    <t>Aims to fix the fishing opportunities available in EU waters and, to EU vessels, in certain non-EU waters for certain fish stocks and groups of fish stocks that are subject to international negotiations or agreements for their respective year; applied in the EU; legally binding.</t>
  </si>
  <si>
    <t>COM (2007) 136 final. Communication from the Commission to the Council and the European Parliament - A policy to reduce unwanted by-catches and eliminate discards in European fisheries {SEC(2007) 380} {SEC(2007) 381}.</t>
  </si>
  <si>
    <t>Communication (2007) 136 final from the Commission to the Council and the European Parliament, Brussels 28.03.2007.
Description:This Communication suggests a policy to reduce unwanted by-catches and progressively eliminate discards in European fisheries. The Regulation reforms the Common Fisheries Policy.
Implication analysis. The reduction of unwanted by-catches and discards is the main implication of these documents for food waste. The documents—most significantly the Regulation—include an obligation to land all catches of species that are subject to EU restrictions. This obligation, known as the “discard ban,” came into force over the period 2015–2019, and will apply to an increasing number of species over time. However, the rules include a small amount of flexibility as well as exceptions for banned species and those that are highly likely to survive if returned to the sea rather than landed. The science and process for determining such species are currently lacking.</t>
  </si>
  <si>
    <t xml:space="preserve">Not directly linked because reducing by-catches and catches, so the fish is not being harvested and never becomes food. </t>
  </si>
  <si>
    <t>https://eur-lex.europa.eu/LexUriServ/LexUriServ.do?uri=COM:2007:0136:FIN:EN:PDF</t>
  </si>
  <si>
    <t>The Communication suggests a policy to reduce unwanted by-catches and progressively eliminate discards in European fisheries; applied in the EU; not legally binding.</t>
  </si>
  <si>
    <t>Directive 2009/128/EC of the European Parliament and of the Council of 21 October 2009 establishing a framework for Community action to achieve the sustainable use of pesticides</t>
  </si>
  <si>
    <t>Fruits &amp; Vegetables, Cereals (all crops)</t>
  </si>
  <si>
    <t xml:space="preserve">EU </t>
  </si>
  <si>
    <t>Aims to achieve a sustainable use of pesticides in the EU by reducing the risks and impacts of pesticide use on human health and the environment and promoting the use of Integrated Pest Management (IPM) and of alternative approaches or techniques, such as non-chemical alternatives to pesticides. EU countries have drawn up National Action Plans to implement the range of actions set out in the Directive.</t>
  </si>
  <si>
    <t>https://eur-lex.europa.eu/eli/dir/2009/128/oj</t>
  </si>
  <si>
    <t>Yes - research and development in Integrated Pest Management (IPM) and alternative approaches or techniques in pesticide use.</t>
  </si>
  <si>
    <t>Sets UNECE minimum requirements for pineapples; international; not legally binding.</t>
  </si>
  <si>
    <t>Consolidated text: Commission Implementing Regulation (EU) No 543/2011 of 7 June 2011 laying down detailed rules for the application of Council Regulation (EC) No 1234/2007 in respect of the fruit and vegetables and processed fruit and vegetables sectors
PROVISIONS CONCERNING QUALITY - Minimum Requirements</t>
  </si>
  <si>
    <t>Lettuce, curly and broad- leaved endives</t>
  </si>
  <si>
    <t>In all classes, subject to the special provisions for each class and the tolerances allowed, the produce must be: intact, sound, clean and trimmed, fresh in appearance, free from pests, from damage caused by pests, turgescent, not running to seed, free of abnormal external moisture, of any foreign smell and/or taste.</t>
  </si>
  <si>
    <t>EUR-Lex - 02011R0543-20221024 - EN - EUR-Lex (europa.eu)</t>
  </si>
  <si>
    <t>Sets minimum requirements for lettuce, curly and broad- leaved endives; applied in the EU; legally binding.</t>
  </si>
  <si>
    <t>The produce is classified in two classes, as defined below:
i) Class I
ii) Class II</t>
  </si>
  <si>
    <t>Sets classification requirements for lettuce, curly and broad- leaved endives; applied in the EU; legally binding.</t>
  </si>
  <si>
    <t>Size is determined by the weight of one unit. To ensure uniformity in size, the range in size between produce in the same package shall not exceed:
a) Lettuces
– 40 g when the lightest unit weighs less than 150 g per unit;
– 100 g when the lightest unit weighs between 150 g and 300 g per unit;
– 150 g when the lightest unit weighs between 300 g and 450 g per unit;
– 300 g when the lightest unit weighs more than 450 g per unit.
b) Curled-leaved and broad-leaved (Batavian) endives
– 300 g.</t>
  </si>
  <si>
    <t>Sets sizing requirements for lettuce, curly and broad- leaved endives; applied in the EU; legally binding.</t>
  </si>
  <si>
    <t>i) Class I
A total tolerance of 10 percent, by number, of produce not satisfying the requirements
of the class but meeting those of Class II is allowed
ii) Class II
A total tolerance of 10 percent, by number, of produce satisfying neither the requirements of the class nor the minimum requirements is allowed.</t>
  </si>
  <si>
    <t>Sets quality tolerances requirements for lettuce, curly and broad- leaved endives; applied in the EU; legally binding.</t>
  </si>
  <si>
    <t>For all classes: A total tolerance of 10 percent, by number, of produce not satisfying the requirements as regards sizing is allowed.</t>
  </si>
  <si>
    <t>Sets size tolerances requirements for lettuce, curly and broad- leaved endives; applied in the EU; legally binding.</t>
  </si>
  <si>
    <t>The contents of each package must be uniform and contain only produce of the same origin, variety or commercial type, quality and size.</t>
  </si>
  <si>
    <t>Sets uniformity requirements for lettuce, curly and broad- leaved endives; applied in the EU; legally binding.</t>
  </si>
  <si>
    <t>The produce must be packed in such a way as to protect it properly. It must be reasonably packed having regard to the size and type of packaging, without empty spaces or crushing.</t>
  </si>
  <si>
    <t>Sets packaging requirements for lettuce, curly and broad- leaved endives; applied in the EU; legally binding.</t>
  </si>
  <si>
    <t>Sets marking identification requirements for lettuce, curly and broad- leaved endives; applied in the EU; legally binding.</t>
  </si>
  <si>
    <t>Peaches and Nectarines</t>
  </si>
  <si>
    <t>In all classes, subject to the special provisions for each class and the tolerances allowed, the peaches and nectarines must be:
– intact, sound, clean, practically free from pests, free from damage, free of fruit split at the stalk cavity,
– free of abnormal external moisture, free of any foreign smell and/or taste.</t>
  </si>
  <si>
    <t>Sets minimum requirements for peaches and nectarines; applied in the EU; legally binding.</t>
  </si>
  <si>
    <t>The peaches and nectarines are classified in three classes, as defined:  “Extra” Class, Class I, Class II.</t>
  </si>
  <si>
    <t>Sets classification requirements for peaches and nectarines; applied in the EU; legally binding.</t>
  </si>
  <si>
    <t>The fruit must be sufficiently developed and display satisfactory ripeness. The minimum refractometric index of the pulp should be equal to or greater than 8° Brix.</t>
  </si>
  <si>
    <t>Sets maturity requirements for peaches and nectarines; applied in the EU; legally binding.</t>
  </si>
  <si>
    <t>Size is determined either by the maximum diameter of the equatorial section, by weight, or by count.</t>
  </si>
  <si>
    <t>Sets sizing requirements for peaches and nectarines; applied in the EU; legally binding.</t>
  </si>
  <si>
    <t>i) “Extra” Class
A total tolerance of 5 percent, by number or weight, of peaches or nectarines not satisfying the requirements of the class but meeting those of Class I is allowed. 
ii) Class I
A total tolerance of 10 percent, by number or weight, of peaches or nectarines not satisfying the requirements of the class but meeting those of Class II is allowed.
iii) Class II
A total tolerance of 10 percent, by number or weight, of peaches or nectarines satisfying neither the requirements of the class nor the minimum requirements is allowed.</t>
  </si>
  <si>
    <t>Sets quality tolerances requirements for peaches and nectarines; applied in the EU; legally binding.</t>
  </si>
  <si>
    <t>For all classes (if sized): A total tolerance of 10 percent, by number or weight, of peaches or nectarines deviating up to 3 mm from the size indicated is allowed.</t>
  </si>
  <si>
    <t>Sets size tolerances requirements for peaches and nectarines; applied in the EU; legally binding.</t>
  </si>
  <si>
    <t>The contents of each package must be uniform and contain only peaches or nectarines of the same origin, variety, quality, degree of ripeness and size (if sized), and for the “Extra” Class, the contents must also be uniform in colouring.</t>
  </si>
  <si>
    <t>Sets uniformity requirements for peaches and nectarines; applied in the EU; legally binding.</t>
  </si>
  <si>
    <t xml:space="preserve">The peaches and nectarines must be packed in such a way as to protect the produce properly. </t>
  </si>
  <si>
    <t>Sets packaging requirements for peaches and nectarines; applied in the EU; legally binding.</t>
  </si>
  <si>
    <t>Sets marking identification requirements for peaches and nectarines; applied in the EU; legally binding.</t>
  </si>
  <si>
    <t>Pears</t>
  </si>
  <si>
    <t>In all classes, subject to the special provisions for each class and the tolerances allowed, the pears must be: intact, sound, clean, free from pests, damage, of abnormal external moisture, of any foreign smell and/or taste.</t>
  </si>
  <si>
    <t>Sets minimum requirements for pear; applied in the EU; legally binding.</t>
  </si>
  <si>
    <t>Pears are classified in three classes, as defined: “Extra“ Class, Class I, Class II.</t>
  </si>
  <si>
    <t>Sets classification requirements for pear; applied in the EU; legally binding.</t>
  </si>
  <si>
    <t>The development and state of maturity of the pears must be such as to enable them to continue their ripening process and to reach a satisfactory degree of ripeness.</t>
  </si>
  <si>
    <t>Sets maturity requirements for pear; applied in the EU; legally binding.</t>
  </si>
  <si>
    <t>Sets sizing requirements for pear; applied in the EU; legally binding.</t>
  </si>
  <si>
    <t>i)“Extra“ Class
A total tolerance of 5 per cent, by number or weight, of pears not satisfying the requirements of the class but meeting those of Class I is allowed.
ii) Class I
A total tolerance of 10 percent, by number or weight, of pears not satisfying the requirements of the class but meeting those of Class II is allowed.
iii) Class II
A total tolerance of 10 percent, by number or weight, of pears satisfying neither the requirements of the class nor the minimum requirements is allowed.</t>
  </si>
  <si>
    <t>Sets quality tolerances requirements for pear; applied in the EU; legally binding.</t>
  </si>
  <si>
    <t>For all classes: A total tolerance of 10 percent, by number or weight, of pears not satisfying the requirements as regards sizing is allowed. This tolerance may not be extended to include produce with a size:
– 5 mm or more below the minimum diameter
– 10 g or more below the minimum weight.</t>
  </si>
  <si>
    <t>Sets size tolerances requirements for pear; applied in the EU; legally binding.</t>
  </si>
  <si>
    <t>The contents of each package must be uniform and contain only pears of the same origin, variety, quality and size (if sized) and the same degree of ripeness.</t>
  </si>
  <si>
    <t>Sets uniformity requirements for pear; applied in the EU; legally binding.</t>
  </si>
  <si>
    <t xml:space="preserve">The pears must be packed in such a way as to protect the produce properly. </t>
  </si>
  <si>
    <t>Sets packaging requirements for pear; applied in the EU; legally binding.</t>
  </si>
  <si>
    <t>Sets marking identification requirements for pear; applied in the EU; legally binding.</t>
  </si>
  <si>
    <t>In all classes, subject to the special provisions for each class and the tolerances allowed, the strawberries must be: intact, undamaged, sound, clean, fresh in appearance, practically free from pests, damage, with the calyx, free of abnormal external moisture, of any foreign smell and/or taste.</t>
  </si>
  <si>
    <t>Sets minimum requirements for strawberries; applied in the EU; legally binding.</t>
  </si>
  <si>
    <t>The strawberries are classified in three classes, as defined: “Extra” Class, Class I, Class II.</t>
  </si>
  <si>
    <t>Sets classification requirements for strawberries; applied in the EU; legally binding.</t>
  </si>
  <si>
    <t>The strawberries must be sufficiently developed and display satisfactory maturity and/or ripeness.</t>
  </si>
  <si>
    <t>Sets maturity requirements for strawberries; applied in the EU; legally binding.</t>
  </si>
  <si>
    <t>Size is determined by the maximum diameter of the equatorial section. The minimum size shall be:
– 25 mm in “Extra” Class;
– 18 mm in Classes I and II.</t>
  </si>
  <si>
    <t>Sets sizing requirements for strawberries; applied in the EU; legally binding.</t>
  </si>
  <si>
    <t>i) “Extra” Class
A total tolerance of 5 percent, by number or weight, of strawberries not satisfying the requirements of the class but meeting those of Class I is allowed.
i) Class I
A total tolerance of 10 percent, by number or weight, of strawberries not satisfying the requirements of the class but meeting those of Class II is allowed.
iii) Class II
A total tolerance of 10 percent, by number or weight, of strawberries satisfying neither the requirements of the class nor the minimum requirements is allowed.</t>
  </si>
  <si>
    <t>Sets quality tolerances requirements for strawberries; applied in the EU; legally binding.</t>
  </si>
  <si>
    <t>For all classes: A total tolerance of 10 percent, by number or weight, of strawberries not satisfying the requirements as regards the minimum size is allowed.</t>
  </si>
  <si>
    <t>Sets size tolerances requirements for strawberries; applied in the EU; legally binding.</t>
  </si>
  <si>
    <t xml:space="preserve">The contents of each package must be uniform and contain only strawberries of the same origin, variety and quality. </t>
  </si>
  <si>
    <t>Sets uniformity requirements for strawberries; applied in the EU; legally binding.</t>
  </si>
  <si>
    <t xml:space="preserve">The strawberries must be packed in such a way as to protect the produce properly. </t>
  </si>
  <si>
    <t>Sets packaging requirements for strawberries; applied in the EU; legally binding.</t>
  </si>
  <si>
    <t>Sets marking identification requirements for strawberries; applied in the EU; legally binding.</t>
  </si>
  <si>
    <t>Table Grapes</t>
  </si>
  <si>
    <t>Bunches and berries:
- sound
- clean, practically free of any visible foreign matter
- practically free from
 • pests
 • damage caused by pests
- free of:
 • abnormal external moisture
 • any foreign smell and/or taste
Berries:
- intact
- well formed
- normally developed
- pigmentation due to sun is not a defect
Bunches:
- must have been carefully picked
- sufficiently developed and display satisfactory ripeness
- the development and condition must be such as to enable them:
 • to withstand transport and handling, and
 • to arrive in a satisfactory condition at the place of
destination.</t>
  </si>
  <si>
    <t>Sets minimum requirements for table grapes; applied in the EU; legally binding.</t>
  </si>
  <si>
    <t>The table grapes are classified in three classes defined below: 
“Extra” Class, Class I, Class II</t>
  </si>
  <si>
    <t>Sets classification requirements for table grapes; applied in the EU; legally binding.</t>
  </si>
  <si>
    <t>The juice of the berries must have a refractometric index
of at least:
- 12° Brix for the Alphonse Lavallée, Cardinal and Victoria varieties
- 13° Brix for all other seeded varieties
- 14° Brix for all seedless varieties.
In addition all varieties must have satisfactory sugar/acid
ratio levels.</t>
  </si>
  <si>
    <t>Sets maturity requirements for table grapes; applied in the EU; legally binding.</t>
  </si>
  <si>
    <t>Size is determined by the weight of the bunch.</t>
  </si>
  <si>
    <t>Sets sizing requirements for table grapes; applied in the EU; legally binding.</t>
  </si>
  <si>
    <t>i) “Extra” Class
A total tolerance of 5 percent by weight of bunches not satisfying the requirements of the class, but meeting those of Class I or, exceptionally, coming within the tolerances of that class.
ii) Class I
A total tolerance of 10 percent by weight of bunches not satisfying the requirements of the class but meeting those of Class II or, exceptionally, coming within the tolerances of that class.
iii) Class II
A total tolerance of 10 percent by weight of bunches satisfying neither the requirements of the class nor the minimum requirements, with the exception of produce affected by rotting or any other deterioration rendering it unfit for consumption.</t>
  </si>
  <si>
    <t>Sets quality tolerances requirements for table grapes; applied in the EU; legally binding.</t>
  </si>
  <si>
    <t>i) “Extra” Class and Class I
A total tolerance of 10 per cent by weight of bunches not satisfying the size requirements of the class, but meeting those of the class immediately below.
ii) Class II
A total tolerance of 10 per cent by weight of bunches not satisfying the size requirements of the class but weighing not less than 75 g.
iii) For all classes
In each package for direct sale to the consumer not exceeding 1 kg net weight, one bunch weighing less than 75 g is allowed to adjust the weight, provided the bunch meets all other requirements of the specified class.</t>
  </si>
  <si>
    <t>Sets size tolerances requirements for table grapes; applied in the EU; legally binding.</t>
  </si>
  <si>
    <t>The contents of each package must be uniform and contain only bunches of the same origin, variety, quality and degree of ripeness.</t>
  </si>
  <si>
    <t>Sets uniformity requirements for table grapes; applied in the EU; legally binding.</t>
  </si>
  <si>
    <t>The table grapes must be packed in such a way as to protect the produce properly.</t>
  </si>
  <si>
    <t>Sets packaging requirements for table grapes; applied in the EU; legally binding.</t>
  </si>
  <si>
    <t>Sets marking identification requirements for table grapes; applied in the EU; legally binding.</t>
  </si>
  <si>
    <t>In the case of the “Extra” Class, the bunches must be packed in a single layer.</t>
  </si>
  <si>
    <t>Sets presentation requirements for table grapes; applied in the EU; legally binding.</t>
  </si>
  <si>
    <t>In all classes, subject to the special provisions for each class and the tolerances allowed, apples must be:
— intact, sound, clean, 
— practically free from pests,
— free from damage,
— free from serious watercore,
— free of abnormal external moisture,
— free of any foreign smell and/or taste.</t>
  </si>
  <si>
    <t>Sets minimum requirements for apples; applied in the EU; legally binding.</t>
  </si>
  <si>
    <t>Apples are classified in three classes, as defined: “Extra“ Class, Class I, Class II</t>
  </si>
  <si>
    <t>Sets classification requirements for apples; applied in the EU; legally binding.</t>
  </si>
  <si>
    <t>The apples must be sufficiently developed, but not overdeveloped and display satisfactory ripeness and must not be overripe.</t>
  </si>
  <si>
    <t>Sets maturity requirements for apples; applied in the EU; legally binding.</t>
  </si>
  <si>
    <t>Size is determined either by the maximum diameter of the equatorial section or by weight.</t>
  </si>
  <si>
    <t>Sets sizing requirements for apples; applied in the EU; legally binding.</t>
  </si>
  <si>
    <t>i) “Extra“ Class
A total tolerance of 5 percent, by number or weight, of apples not satisfying the requirements of the class but meeting those of Class I is allowed.
ii) Class I
A total tolerance of 10 percent, by number or weight, of apples not satisfying the requirements of the class but meeting those of Class II is allowed.
iii) Class II
A total tolerance of 10 percent, by number or weight, of apples satisfying neither the requirements of the class nor the minimum requirements is allowed.</t>
  </si>
  <si>
    <t>Sets quality tolerances requirements for apples; applied in the EU; legally binding.</t>
  </si>
  <si>
    <t>For all classes: A total tolerance of 10 percent, by number or weight, of apples not satisfying the requirements as regards sizing is allowed.</t>
  </si>
  <si>
    <t>Sets size tolerances requirements for apples; applied in the EU; legally binding.</t>
  </si>
  <si>
    <t>The contents of each package must be uniform and contain only apples of the same origin, variety, quality and size (if sized) and the same degree of ripeness.</t>
  </si>
  <si>
    <t>Sets uniformity requirements for apples; applied in the EU; legally binding.</t>
  </si>
  <si>
    <t>The apples must be packed in such a way as to protect the produce properly. In particular, sales packages of a net weight exceeding 3 kg shall be sufficiently rigid to ensure proper protection of the produce.</t>
  </si>
  <si>
    <t>Sets packaging requirements for apples; applied in the EU; legally binding.</t>
  </si>
  <si>
    <t>Sets marking identification requirements for apples; applied in the EU; legally binding.</t>
  </si>
  <si>
    <t>Kiwi fruit</t>
  </si>
  <si>
    <t>The kiwifruit must be: intact, sound, clean, free of any visible foreign matter, free from pests, from damage, firm, not soft, shrivelled or water-soaked, well formed, free of abnormal external moisture, free of any foreign smell and/or taste.</t>
  </si>
  <si>
    <t>Sets minimum requirements for kiwi fruit; applied in the EU; legally binding.</t>
  </si>
  <si>
    <t>Kiwi fruit is classified in three classes as defined below. “Extra” Class, Class I, Class II.</t>
  </si>
  <si>
    <t>Sets classification requirements for kiwi fruit; applied in the EU; legally binding.</t>
  </si>
  <si>
    <t>Size is determined by the weight of the fruit.</t>
  </si>
  <si>
    <t>Sets sizing requirements for kiwi fruit; applied in the EU; legally binding.</t>
  </si>
  <si>
    <t>i)    “Extra” Class
A total tolerance of 5 percent, by number or weight, of kiwifruit not satisfying the requirements of the class but meeting those of Class I is allowed.
ii)    Class I
A total tolerance of 10 percent, by number or weight, of kiwifruit not satisfying the requirements of the class but meeting those of Class II is allowed.
iii)    Class II
A total tolerance of 10 percent, by number or weight, of kiwifruit satisfying neither the requirements of the class nor the minimum requirements is allowed.</t>
  </si>
  <si>
    <t>Sets quality tolerances requirements for kiwi fruit; applied in the EU; legally binding.</t>
  </si>
  <si>
    <t>For all classes: a total tolerance of 10 %, by number or weight, of kiwifruit not satisfying the requirements as regards sizing is allowed.</t>
  </si>
  <si>
    <t>Sets size tolerances requirements for kiwi fruit; applied in the EU; legally binding.</t>
  </si>
  <si>
    <t>The contents of each package must be uniform and contain only kiwifruit of the same origin, variety, quality and size.</t>
  </si>
  <si>
    <t>Sets uniformity requirements for kiwi fruit; applied in the EU; legally binding.</t>
  </si>
  <si>
    <t>The kiwifruit must be packed in such a way as to protect the produce properly.</t>
  </si>
  <si>
    <t>Sets packaging requirements for kiwi fruit; applied in the EU; legally binding.</t>
  </si>
  <si>
    <t>Sets marking identification requirements for kiwi fruit; applied in the EU; legally binding.</t>
  </si>
  <si>
    <t>Sweet peppers</t>
  </si>
  <si>
    <t>The sweet peppers must be: intact, sound, clean, free of any visible foreign matter, fresh in appearance, firm, free from pests, free from damage caused by pests affecting the flesh, free of damage caused by low temperature or frost, with peduncles attached; the peduncle must be neatly cut and the calyx be intact, free of abnormal external moisture, free of any foreign smell and/or taste.</t>
  </si>
  <si>
    <t>Sets minimum requirements for sweet peppers; applied in the EU; legally binding.</t>
  </si>
  <si>
    <t>Sweet peppers are classified in three classes, as defined below: “Extra” Class, Class I, Class II.</t>
  </si>
  <si>
    <t>Sets classification requirements for sweet peppers; applied in the EU; legally binding.</t>
  </si>
  <si>
    <t>Sets sizing requirements for sweet peppers; applied in the EU; legally binding.</t>
  </si>
  <si>
    <t>i) “Extra” Class
A total tolerance of 5 percent, by number or weight, of sweet peppers not satisfying the requirements of the class but meeting those of Class I is allowed.
ii) Class I
A total tolerance of 10 percent, by number or weight, of sweet peppers not satisfying the requirements of the class, but meeting those of Class II is allowed. 
iii) Class II
A total tolerance of 10 percent, by number or weight, of sweet peppers satisfying neither the requirements of the class nor the minimum requirements is allowed.</t>
  </si>
  <si>
    <t>Sets quality tolerances requirements for sweet peppers; applied in the EU; legally binding.</t>
  </si>
  <si>
    <t>For all classes (if sized): a total tolerance of 10 per cent, by number or weight, of sweet peppers not satisfying the requirements as regards sizing is allowed.</t>
  </si>
  <si>
    <t>Sets size tolerances requirements for sweet peppers; applied in the EU; legally binding.</t>
  </si>
  <si>
    <t>The contents of each package must be uniform and contain only sweet peppers of the same origin, variety or commercial type, quality, size (if sized) and, in the case of the “Extra” Class and Class I, of appreciably the same degree of ripeness and colouring.</t>
  </si>
  <si>
    <t>Sets uniformity requirements for sweet peppers; applied in the EU; legally binding.</t>
  </si>
  <si>
    <t>The sweet peppers must be packed in such a way as to protect the produce properly.</t>
  </si>
  <si>
    <t>Sets packaging requirements for sweet peppers; applied in the EU; legally binding.</t>
  </si>
  <si>
    <t>Sets marking identification requirements for sweet peppers; applied in the EU; legally binding.</t>
  </si>
  <si>
    <t>Commission Regulation (EC) No 275/2007 of 15 March 2007 amending Regulation (EC) No 1825/2000 laying down detailed rules for the application of Regulation (EC) No 1760/2000 of the European Parliament and of the Council as regards the labelling of beef and beef products</t>
  </si>
  <si>
    <t>C, D</t>
  </si>
  <si>
    <t>Establishing a system for the identification and registration of bovine animals and regarding the labelling of beef and beef products.</t>
  </si>
  <si>
    <t>https://eur-lex.europa.eu/eli/reg/2007/275/oj</t>
  </si>
  <si>
    <t>A regulation on labelling of beef and beef products; applied in the EU; legally binding.</t>
  </si>
  <si>
    <t xml:space="preserve">Commission Implementing Regulation (EU) 775/2018 of 28 May 2018 laying down rules for the application of Article 26(3) of Regulation (EU) No 1169/2011 of the European Parliament and of the Council on the provision of food information to consumers, as regards the rules for indicating the country of origin or place of provenance of the primary ingredient of a food </t>
  </si>
  <si>
    <t>D, J</t>
  </si>
  <si>
    <t>Introduces mandatory dual origin labelling when a country of origin is given or visually implied on the label of a food product, but the origin is not the same as that of its primary ingredient.</t>
  </si>
  <si>
    <t>https://eur-lex.europa.eu/legal-content/en/TXT/?uri=CELEX:32018R0775</t>
  </si>
  <si>
    <t>Providing food information to consumers; applied in the EU; legally binding.</t>
  </si>
  <si>
    <t>Commission Delegated Regulation (EU) 2464/2023 of 17 August 2023 amending Regulation (EU) No 1308/2013 of the European Parliament and of the Council, as regards marketing standards for eggs</t>
  </si>
  <si>
    <t>Eggs</t>
  </si>
  <si>
    <t>The delegated act amends rules on the marking of eggs with the producer code by specifying that the marking of eggs shall take place at the production site. This removes the option for marking to take place at the first packing centre unless Member States grant a derogation to allow this. A derogation is permitted where Member States have efficient marking systems in place at packing centres, based on objective criteria by the Member State, and eggs are marked at the first packing centre to which they are delivered from the production site.</t>
  </si>
  <si>
    <t>https://eur-lex.europa.eu/eli/reg_del/2023/2464/oj 
https://www.greatitalianfoodtrade.it/en/markets/eggs-
minimal-variations-to-EU-marketing-standards/</t>
  </si>
  <si>
    <t>Marketing standards for eggs; applied in the EU; legally binding.</t>
  </si>
  <si>
    <t>Regulation (EU) 2465/2023 of 17 August 2023 supplementing Regulation (EU) No 1308/2013 of the European Parliament and of the Council as regards marketing standards for eggs, and repealing Commission Regulation (EC) No 589/2008</t>
  </si>
  <si>
    <t>B, D, E, I</t>
  </si>
  <si>
    <t>Key aspects:
- The word "cages", has to be replaced with "equipped cage', on the label.
- The air chamber observed in the lower part of the egg must be immobile and have a height of no more than 6 mm. Not exceeding 4 mm in eggs marketed under the term 'extra'.
- The yolk must be visible when candling  only as a shadow, without apparent outline.
- The egg white must be clear and translucent.
- The germ must have an imperceptible development.
- Foreign bodies and atypical odours not permitted.
- Keeping at temperatures below +5 °C, during transport for a maximum duration of 24 hours, or in stores for up to 72 hours is not permitted.
- Classification and stamping requirements of Category A and B eggs.
- The information on the transport packaging must be affixed both to each transport packaging and to the transport documents at the production sites.
- The stamping of eggs intended for cross-border delivery must be carried out at the production site, reporting the manufacturer's code, without prejudice.
- Derogations that may be granted by the Member State where the production site is located, in agreement with the Member State where the packing centre is located, at the request of both operators concerned. 
- The quality of the packaging must be guaranteed in terms of impact resistance, dry condition, good maintenance and cleanliness and the use of materials suitable to protect the eggs from extraneous odours and risks of alteration in quality.
- Minimum storage term set at 28 days from the date of deposition. 
- A red band or label must be affixed to the packs of industrial eggs.</t>
  </si>
  <si>
    <t>https://eur-lex.europa.eu/eli/reg_del/2023/2465/oj
https://www.greatitalianfoodtrade.it/en/markets/eggs-
minimal-variations-to-EU-marketing-standards/</t>
  </si>
  <si>
    <t>Commission Implementing Regulation (EU) 2466/2023 of 17 August 2023 laying down rules for the application of Regulation (EU) No 1308/2013 of the European Parliament and of the Council as regards marketing standards for eggs</t>
  </si>
  <si>
    <t>This regulation contains rules implementing marketing standards concerning egg packing and their traceability that were previously listed in Commission Regulation (EC) 589/2008. The implementing act specifically covers: identification of producers and packing centres; the records to be kept by producers, collectors and packing centres; the checks of conformity; notifications. About the species gallus:
– identification of producers and 
– stamping of the eggs with the manufacturer's code, to be made with characters at least 2 mm high
– mandatory information to be included
– term of conservation of the registers, for at least 12 months
– compliance checks
– communications by the Member States, at the request of the Commission, of information necessary for the application of the regulation.</t>
  </si>
  <si>
    <t>https://eur-lex.europa.eu/eli/reg/2023/02466/oj 
https://www.greatitalianfoodtrade.it/en/markets/eggs-
minimal-variations-to-EU-marketing-standards/</t>
  </si>
  <si>
    <t>Regulation (EU) No 1380/2013 of the European Parliament and of the Council of 11 December 2013 on the Common Fisheries Policy, amending Council Regulations (EC) No 1954/2003 and (EC) No 1224/2009 and repealing Council Regulations (EC) No 2371/2002 and (EC) No 639/2004 and Council Decision 2004/585/EC</t>
  </si>
  <si>
    <t>This Regulation lays down provisions concerning the Common Fisheries Policy (CFP), which covers the following: (a) the conservation of marine biological resources and the management of fisheries and fleets exploiting such resources; (b) in relation to measures on markets and financial measures in support of the implementation of the CFP, fresh water biological resources, aquaculture, and the processing and marketing of fisheries and aquaculture products. The CFP applies to activities carried out in the territories of the Member States, in European Union waters and by European Union fishing vessels outside European Union waters. The aim of the CFP is to ensure that fishing and aquaculture activities are environmentally sustainable in the long-term and are managed in a way that is consistent with the objectives of achieving economic, social and employment benefits, and of contributing to the availability of food supplies. The Regulations also promotes the fight against IUU fishing activities.</t>
  </si>
  <si>
    <t>https://eur-lex.europa.eu/eli/reg/2013/1380/oj
https://www.fao.org/faolex/results/details/en/c/LEX-FAOC130290/#:~:text=This%20Regulation%20lays%20down%20provisions,measures%20in%20support%20of%20the</t>
  </si>
  <si>
    <t xml:space="preserve">Yes - research and development in sustainable fishing measures. </t>
  </si>
  <si>
    <t>Conservation and sustainable exploitation of fisheries resources, rules for fishing vessels; applied in the EU; legally binding.</t>
  </si>
  <si>
    <t>Commission Directive 125/2006 of 5 December 2006 on processed cereal-based foods and baby foods for infants and young children</t>
  </si>
  <si>
    <t>Tofu, tempeh and seitan</t>
  </si>
  <si>
    <t>To provide clear and accurate information on labels regarding the presence of certain substances or products causing allergies or intolerances.</t>
  </si>
  <si>
    <t>https://eur-lex.europa.eu/eli/dir/2006/125/oj</t>
  </si>
  <si>
    <t>Rules on providing information on labels regarding the presence of certain substances or products causing allergies or intolerances; applied in the EU; legally binding.</t>
  </si>
  <si>
    <t>Regulation (EU) 848/2018 of the European Parliament and of the Council of 30 May 2018 on organic production and labelling of organic products and repealing Council Regulation (EC) No 834/2007</t>
  </si>
  <si>
    <t>D, G</t>
  </si>
  <si>
    <t>Replaces the previous organic Regulation (EC) No 834/2007 and introduces several updates and changes aimed at further harmonizing organic rules across the EU member states. Labelling of organic products, production activities of organic products.</t>
  </si>
  <si>
    <t>https://eur-lex.europa.eu/legal-content/EN/TXT/?uri=CELEX%3A32018R0848</t>
  </si>
  <si>
    <t>Yes - research and development in organic production.</t>
  </si>
  <si>
    <t>Rules for production and labelling of organic products; applied in the EU; legally binding.</t>
  </si>
  <si>
    <t xml:space="preserve">Regulation (EC) No 1829/2003 of the European Parliament and of the Council of 22 September 2003 on genetically modified food and feed </t>
  </si>
  <si>
    <t>C</t>
  </si>
  <si>
    <t>Outlines the requirements for the authorization, supervision, and labelling of genetically modified organisms (GMOs) and products derived from them when they are used as food or animal feed.</t>
  </si>
  <si>
    <t>https://eur-lex.europa.eu/legal-content/EN/TXT/?uri=CELEX%3A32003R1829</t>
  </si>
  <si>
    <t>Yes - research and innovation in genetically modified crop production.</t>
  </si>
  <si>
    <t>Establishes requirements for the authorization, supervision, and labelling of genetically modified organisms (GMOs) and products derived from them when they are used as food or animal feed; applied in the EU; legally binding.</t>
  </si>
  <si>
    <t>Delegated Regulation (EU) 2429/2023 of 17 August 2023 supplementing Regulation (EU) No 1308/2013 of the European Parliament and of the Council as regards marketing standards for the fruit and vegetables sector, certain processed fruit and vegetable products and the bananas sector, and repealing Commission Regulation (EC) No 1666/1999 and Commission Implementing Regulations (EU) No 543/2011 and (EU) No 1333/2011</t>
  </si>
  <si>
    <t>Dried figs, dried grapes, ripe bananas</t>
  </si>
  <si>
    <t>Must indicate the country of origin on the external packaging. To prevent imported products from being falsely labeled as made in Italy.</t>
  </si>
  <si>
    <t>https://eur-lex.europa.eu/eli/reg/2023/02429/oj</t>
  </si>
  <si>
    <t>Rules for the country of orignins of fruits and vegetables; applied in the EU; legally binding.</t>
  </si>
  <si>
    <t>Regulation (EC) No 396/2005 of the European Parliament and of the Council of 23 February 2005 on maximum residue levels of pesticides in or on food and feed of plant and animal origin and amending Council Directive 91/414/EEC</t>
  </si>
  <si>
    <t xml:space="preserve">States residue levels (MRLs) for pesticides. </t>
  </si>
  <si>
    <t>https://eur-lex.europa.eu/legal-content/EN/ALL/?uri=celex%3A32005R0396</t>
  </si>
  <si>
    <t>Regulates residue levels (MRLs) for pesticides; applied in the EU; legally binding.</t>
  </si>
  <si>
    <t>Commission Implementing Regulation (EU) No 546/2013 of 14 June 2013 approving the active substance eugenol, in accordance with Regulation (EC) No 1107/2009 of the European Parliament and of the Council concerning the placing of plant protection products on the market, and amending the Annex to Commission Implementing Regulation (EU) No 540/2011</t>
  </si>
  <si>
    <t>National provisions on checks of compliance with the marketing standards applicable in bananas.</t>
  </si>
  <si>
    <t>https://eur-lex.europa.eu/legal-content/EN/TXT/?uri=CELEX%3A32013R0546</t>
  </si>
  <si>
    <t>National provisions on checks of compliance with the marketing standards applicable in bananas; applied in the EU; legally binding.</t>
  </si>
  <si>
    <t>Regulation (EC) No 1924/2006 of the European Parliament and of the Council of 20 December 2006 on nutrition and health claims made on foods</t>
  </si>
  <si>
    <t>Rules for the use of nutrition and health claims in food labeling, advertising, and presentation throughout the European Union.</t>
  </si>
  <si>
    <t>https://eur-lex.europa.eu/legal-content/EN/ALL/?uri=celex%3A32006R1924</t>
  </si>
  <si>
    <t>Sets rules for the use of nutrition and health claims in food labeling, advertising, and presentation; applied in the EU; legally binding.</t>
  </si>
  <si>
    <t>Regulation (EC) No 543/2008 of 16 June 2008 laying down detailed rules for the application of Council Regulation (EC) No 1234/2007 as regards the marketing standards for poultry meat</t>
  </si>
  <si>
    <t>Poultry meat</t>
  </si>
  <si>
    <t xml:space="preserve">Regulation (EC) No 543/2008 establishes marketing standards for poultry meat in the EU, encompassing various aspects of the poultry industry such as production, processing, and marketing. This regulation covers different types of poultry, including domestic fowl, ducks, geese, turkeys, and Guinea fowl. </t>
  </si>
  <si>
    <t>Yes - research and development in  sustainable production and processing - poultry sector.</t>
  </si>
  <si>
    <t>Marketing standards for poultry meat; applied in the EU; legally binding.</t>
  </si>
  <si>
    <t xml:space="preserve">Regulation (EU) No 1169/2011 of the European Parliament and of the Council of 25 October 2011 on the provision of food information to consumers, amending Regulations (EC) No 1924/2006 and (EC) No 1925/2006 of the European Parliament and of the Council, and repealing Commission Directive 87/250/EEC, Council Directive 90/496/EEC, Commission Directive 1999/10/EC, Directive 2000/13/EC of the European Parliament and of the Council, Commission Directives 2002/67/EC and 2008/5/EC and Commission Regulation (EC) No 608/2004 </t>
  </si>
  <si>
    <t xml:space="preserve">Applies to all food products - overarching labelling legislation ot be applied in all EU member states.  </t>
  </si>
  <si>
    <t xml:space="preserve">Regulation (EU) No 1169/2011, is the EU's main food-labelling act, applicable in all EU countries. It sets certain basic requirements for information that must be given to consumers, such as a mandatory list of ingredients, net quantity, a use-by date and presence of allergens (e.g. soy, nuts, gluten, lactose), which must be emphasised by the use of a special font, style or background colour in the list of ingredients. </t>
  </si>
  <si>
    <t>https://eur-lex.europa.eu/legal-content/EN/TXT/?uri=celex%3A32011R1169</t>
  </si>
  <si>
    <t>The EU main food labelling act; applied in the EU; legally binding.</t>
  </si>
  <si>
    <t>COM/2010/0704 final: Communication from the Commission to the European Parliament and the Council on the future necessity and use of mechanically separated meat in the European Union, including the information policy towards consumers</t>
  </si>
  <si>
    <t>Meat products</t>
  </si>
  <si>
    <t>D, E, I, J</t>
  </si>
  <si>
    <t>About the use of mechanically separated meat (MSM) in the EU, including the information policy towards consumers. MSM is produced by removing remaining meat from flesh-bearing bones after the deboning or from poultry carcasses. The production of MSM may be a tool to increase the economic benefit from meat production recovery.</t>
  </si>
  <si>
    <t>https://eur-lex.europa.eu/legal-content/EN/TXT/HTML/?uri=CELEX%3A52010DC0704</t>
  </si>
  <si>
    <t>Rules for mechanically separated meat; applied in the EU; legally binding.</t>
  </si>
  <si>
    <t>Regulation (EU) No 653/2014 of the European Parliament and of the Council amending Regulation (EC) No 1760/2000 as regards electronic identification of bovine animals and labelling of beef</t>
  </si>
  <si>
    <t xml:space="preserve">Bovine </t>
  </si>
  <si>
    <t>This Regulation lays down some amendments to Regulation (EC) No. 1760/2000 establishing a system for the identification and registration of bovine animals and regarding the labelling of beef and beef products. The amendments concern the obligation to identify animals and traceability; identification of animals from third countries, identification of animals moved from one Member State to another; removal, modification or replacement of means of identification; compulsory labelling of beef and beef products.</t>
  </si>
  <si>
    <t>https://eur-lex.europa.eu/legal-content/EN/TXT/PDF/?uri=CELEX:32014R0653&amp;from=IT</t>
  </si>
  <si>
    <t>Rules for  electronic identification of bovine animals and labelling of beef; applied in the EU; legally binding.</t>
  </si>
  <si>
    <t>Regulation (EC) No 566/2008 of 18 June 2008 laying down detailed rules for the application of Council Regulation (EC) No 1234/2007 as regards the marketing of the meat of bovine animals aged 12 months or less</t>
  </si>
  <si>
    <t>This Regulation lays down detailed rules governing the marketing of meat of bovine animals aged 12 months or less, including provisions on official checks and supervision of the classification of the bovine animals in slaughterhouses. These rules are set out pursuant to article 113b of Regulation (EC) No. 1234/2007 establishing a common organization of agricultural markets and on specific provisions for certain agricultural products (Single CMO Regulation).</t>
  </si>
  <si>
    <t>https://eur-lex.europa.eu/legal-content/en/ALL/?uri=CELEX:32008R0566</t>
  </si>
  <si>
    <t>Rules for  marketing of the meat of bovine animals aged 12 months or less; applied in the EU; legally binding.</t>
  </si>
  <si>
    <t>Regulation (EC) No 1935/2004 of the European Parliament and of the Council of 27 October 2004 on materials and articles intended to come into contact with food and repealing Directives 80/590/EEC and 89/109/EEC</t>
  </si>
  <si>
    <t xml:space="preserve">This Regulation aims at securing a high level of protection of human health by establishing rules applicable to materials and articles which, in their finished state: (a) are intended to be brought into contact with food; (b) are already in contact with food and were intended for that purpose; or (c) can reasonably be expected to be brought into contact with food or to transfer their constituents to food under normal or foreseeable conditions of use. </t>
  </si>
  <si>
    <t>https://eur-lex.europa.eu/legal-content/EN/ALL/?uri=celex%3A32004R1935</t>
  </si>
  <si>
    <t xml:space="preserve">Yes - research and innovation in packaging. </t>
  </si>
  <si>
    <t>Rules for materials that have or might have contact with food; applied in the EU; legally binding.</t>
  </si>
  <si>
    <t>Regulation (EU) 1143/2024 of the European Parliament and of the Council of 11 April 2024 on geographical indications for wine, spirit drinks and agricultural products, as well as traditional specialities guaranteed and optional quality terms for agricultural products, amending Regulations (EU) No 1308/2013, (EU) 2019/787 and (EU) 2019/1753 and repealing Regulation (EU) No 1151/2012</t>
  </si>
  <si>
    <t>The new regulation strengthens and improves the existing GI system by:
- Introducing a single legal framework and a shortened, simplified registration procedure: different rules on GI procedures and protection are merged for the three sectors (food, wine, and spirits), resulting in a single simplified GI registration procedure.
- Increasing protection of GIs as ingredients and online: the new rules increase the protection of GIs used as an ingredient in a processed product and of GI products sold online. The new regulation also strengthens the protection of GI names in the domain name system.
- Recognising sustainable practices: producers will now be able to valorise their actions regarding environmental, economic, or social sustainability. A producer group may decide to make some sustainable practices mandatory for their products. In this case, they should be included in the product specifications. On a voluntary basis, producers can also draw up a sustainability report that will be published by the European Commission.
- Empowering producers' groups: the new measures establish a voluntary system of recognised GI producer groups, to be set up by EU countries. To increase the attractiveness of the system, such groups are empowered to manage, enforce, and develop their GIs to strengthen their position in the value chain.</t>
  </si>
  <si>
    <t>https://eur-lex.europa.eu/eli/reg/2024/1143/oj</t>
  </si>
  <si>
    <t>Intends to simplify and increase the accessibility of the EU GI procedures; applied in the EU; legally binding.</t>
  </si>
  <si>
    <t>Fishery and aquaculture products - Establishes the list of commercial names authorized in Portugal for commercialization (Portaria n.º 587/2006, de 22 de junho)</t>
  </si>
  <si>
    <t>Establishes the list of commercial names authorized in Portugal for the commercialization of fishery and aquaculture products.</t>
  </si>
  <si>
    <t>https://diariodarepublica.pt/dr/detalhe/portaria/587-2006-370869</t>
  </si>
  <si>
    <t>Establishes the list of commercial names authorized in Portugal for the commercialization of fishery and aquaculture products; applied in Portugal; legally binding.</t>
  </si>
  <si>
    <t>Fish - Establishes the minimum conservation reference sizes for species, relating to the conservation of fishery resources and the protection of marine ecosystems through technical measures (Portaria n.º 255/2022 de 26 de outubro)</t>
  </si>
  <si>
    <t>Establishes the minimum conservation reference sizes for species, relating to the conservation of fishery resources and the protection of marine ecosystems through technical measures.</t>
  </si>
  <si>
    <t>https://www.dgrm.pt/documents/20143/46482/Portaria+255-2022+Tamanhos+m%C3%ADnimos.pdf/0a33a10a-f393-d561-ab46-33470129c231</t>
  </si>
  <si>
    <t>Establishes the minimum conservation reference sizes for species; applied in Portugal; legally binding.</t>
  </si>
  <si>
    <t>Fish and aquaculture products - Establishes the traceability and control system for consumer information requirements for the retail sale of fisheries and aquaculture products (Decreto-Lei n.º 134/2002)</t>
  </si>
  <si>
    <t>Establishes the traceability and control system for consumer information requirements for the retail sale of fisheries and aquaculture products.</t>
  </si>
  <si>
    <t>https://diariodarepublica.pt/dr/detalhe/decreto-lei/134-2002-160350</t>
  </si>
  <si>
    <t>Establishes the traceability and control system for consumer information requirements; applied in Portugal; legally binding.</t>
  </si>
  <si>
    <t>Rules for the production and commercialization of live bivalve molluscs, echinoderms, tunicates and marine gastropods, complementary to Regulations (EC) No 852/2004 and No 853/2004 of the European Parliament and of the Council of 29 April 2004 on the hygiene of foodstuffs and specific hygiene rules for food of animal origin (Portaria n.º 1421/2006, de 21 de dezembro)</t>
  </si>
  <si>
    <t>Bivalve molluscs, echinoderms, tunicates and marine gastropods</t>
  </si>
  <si>
    <t>Shellfish</t>
  </si>
  <si>
    <t>Establishes rules for the production and commercialization of live bivalve molluscs, echinoderms, tunicates and marine gastropods, complementary to Regulations (EC) No 852/2004 and No 853/2004 of the European Parliament and of the Council of 29 April 2004 on the hygiene of foodstuffs and specific hygiene rules for food of animal origin.</t>
  </si>
  <si>
    <t>Análise Jurídica - Portaria n.º 1421/2006 | DR (diariodarepublica.pt)</t>
  </si>
  <si>
    <t>Production and commercialization of live bivalve molluscs, echinoderms, tunicates and marine gastropods; applied in Portugal; legally binding.</t>
  </si>
  <si>
    <t>Label Rouge</t>
  </si>
  <si>
    <t>A, B, D, E, F, G, J, M</t>
  </si>
  <si>
    <t xml:space="preserve">France </t>
  </si>
  <si>
    <t xml:space="preserve">Primary Production, Processing &amp; Manufacturing, Retail and other Distribution, Food services. </t>
  </si>
  <si>
    <t>The Label Rouge is a seal of quality for high-quality food from France. It was created in 1965 at the instigation of French poultry producers, who attach more importance to traditional and natural animal husbandry. It is awarded on behalf of the French Ministry of Agriculture. In addition to poultry, other agricultural and fisheries products (saisaged, beef, veal, lamb, pork, poultry, cheese and other dairy products, fruit, vegetables, fish and seafood) are now also listed under this seal of quality. The Rouge label is not a private label, but an official seal of quality that is awarded independently of any trademarks. Since this seal of quality does not distinguish an individual producer, but a specific product, no company has the sole right to apply for the Label Rouge. The Label Rouge is only awarded to a company after approval by a state commission (the National Commission for Quality Seals of Agricultural and Food Products).</t>
  </si>
  <si>
    <t>https://www.economie.gouv.fr/particuliers/produit-label-rouge-quoi-vous-attendre
https://agriculture.gouv.fr/official-labels-quality-and-origin#:~:text=Label%20rouge%20(LR),chicken%2C%20cheese%20and%20cured%20meats.
https://www.inao.gouv.fr/Les-signes-officiels-de-la-qualite-et-de-l-origine-SIQO/Label-Rouge</t>
  </si>
  <si>
    <t>Label Rouge is a French national certification that mostly stands for the supreme quality of goods. LR is issued in France, but can be recognised as such elsewhere, the LR standards are not legally required, but are highly appreciated. Pertains only to products defined in the LR product-specific documents (“cahier de charges”); applied in France; not legally binding.</t>
  </si>
  <si>
    <t>LA/09/06 Referentiel Truite De Source Label Rouge</t>
  </si>
  <si>
    <t>A, B, D, E, F</t>
  </si>
  <si>
    <t>https://extranet.inao.gouv.fr/fichier/CDC-LA-0906-Truite-2008.pdf</t>
  </si>
  <si>
    <t>LA/04/01 Abricot</t>
  </si>
  <si>
    <t>https://www.inao.gouv.fr/Les-signes-officiels-de-la-qualite-et-de-l-origine-SIQO/Label-Rouge</t>
  </si>
  <si>
    <t>LA/02/66 Ail rose</t>
  </si>
  <si>
    <t>Pink Garlic</t>
  </si>
  <si>
    <t>LA/07/23 Asperges</t>
  </si>
  <si>
    <t>LA/04/67 Carottes des sables</t>
  </si>
  <si>
    <t>Sand Carrots</t>
  </si>
  <si>
    <t>LA/08/17 Cerises</t>
  </si>
  <si>
    <t>LA/03/14 Clémentine</t>
  </si>
  <si>
    <t>Clementines</t>
  </si>
  <si>
    <t>LA/04/14 Endives de pleine terre</t>
  </si>
  <si>
    <t>Full-ground Endives</t>
  </si>
  <si>
    <t>LA/09/05 Farine de blé</t>
  </si>
  <si>
    <t>Flour</t>
  </si>
  <si>
    <t>LA/05/23 Farine de gruau de blé</t>
  </si>
  <si>
    <t>LA/05/14 Farine de meule</t>
  </si>
  <si>
    <t>LA/20/06 Farine panifiable pour pain courant</t>
  </si>
  <si>
    <t>LA/11/04 Farine pour pain de tradition française</t>
  </si>
  <si>
    <t>LA/25/06 Farine type 45 label rouge pour pâtisserie</t>
  </si>
  <si>
    <t>LA/19/06 Flageolet vert</t>
  </si>
  <si>
    <t>Green Flageolet (beans)</t>
  </si>
  <si>
    <t>LA/16/08 Fraise</t>
  </si>
  <si>
    <t>LA/01/17 Fraises</t>
  </si>
  <si>
    <t>LA/19/97 Haricot</t>
  </si>
  <si>
    <t>LA/27/05 Haricots blancs</t>
  </si>
  <si>
    <t>LA/35/90 Kiwi Hayward</t>
  </si>
  <si>
    <t>Hayward Kiwi</t>
  </si>
  <si>
    <t>LA/01/96 Lentilles vertes</t>
  </si>
  <si>
    <t>Green Lentils</t>
  </si>
  <si>
    <t>LA/15/98 Lingot</t>
  </si>
  <si>
    <t>Lingot Beans</t>
  </si>
  <si>
    <t>LA/05/91 Melon</t>
  </si>
  <si>
    <t>LA/06/23 Melon</t>
  </si>
  <si>
    <t>LA/10/87 Pêches et nectarines</t>
  </si>
  <si>
    <t>LA/04/16 Piment doux</t>
  </si>
  <si>
    <t>Sweet Peppers</t>
  </si>
  <si>
    <t>LA/04/96 Pommes</t>
  </si>
  <si>
    <t>LA/10/98 Reine-Claude</t>
  </si>
  <si>
    <t>Greengage</t>
  </si>
  <si>
    <t>LA/01/23 Tomate de bouche</t>
  </si>
  <si>
    <t>Fresh Tomato</t>
  </si>
  <si>
    <t>LA/03/03 Betteraves rouges</t>
  </si>
  <si>
    <t>Red Beets</t>
  </si>
  <si>
    <t>LA/02/07 Lentille blonde</t>
  </si>
  <si>
    <t>Blonde Lentils</t>
  </si>
  <si>
    <t xml:space="preserve">LA/27/98 Mâche </t>
  </si>
  <si>
    <t>LA/05/95 Mâche prête à l'emploi</t>
  </si>
  <si>
    <t>LA/09/86 Poireaux des sables</t>
  </si>
  <si>
    <t>Sand Leeks</t>
  </si>
  <si>
    <t>LA/31/89 Salade prête à l'emploi</t>
  </si>
  <si>
    <t>Salad</t>
  </si>
  <si>
    <t>LA/13/06 Ananas</t>
  </si>
  <si>
    <t>LA/24/06 Litchi</t>
  </si>
  <si>
    <t>Lychee</t>
  </si>
  <si>
    <t>LA/23/88 Viande bovine d'animaux jeunes de race limousine</t>
  </si>
  <si>
    <t>LA/18/91 Viande et abats frais de gros bovins de boucherie</t>
  </si>
  <si>
    <t>LA/09/02 Viande et abats frais et surgelés de gros bovins de race Blonde d'Aquitaine</t>
  </si>
  <si>
    <t>LA/02/74 Viande et abats frais et surgelés de gros bovins de race charolaise</t>
  </si>
  <si>
    <t>LA/11/89 Viande et abats frais et surgelés de gros bovins de race charolaise</t>
  </si>
  <si>
    <t>LA/18/97 Viande et abats frais et surgelés de gros bovins de race gasconne</t>
  </si>
  <si>
    <t>LA/08/04 Viande et abats frais et surgelés de gros bovins de race Salers</t>
  </si>
  <si>
    <t>LA/01/99 Viande et abats frais et surgelés de gros bovins fermiers de race Aubrac</t>
  </si>
  <si>
    <t>LA/16/93 Viande et abats frais viande hachée fraîche de gros bovins</t>
  </si>
  <si>
    <t>LA/17/91 Viande et abats frais et surgelés de gros bovins de race blonde d'Aquitaine</t>
  </si>
  <si>
    <t>LA/08/93 Viande et abats frais et surgelés de veau élevé sous la mère pouvant recevoir un complément à base de fourrages et de céréales</t>
  </si>
  <si>
    <t>Veal</t>
  </si>
  <si>
    <t>LA/12/97 Viande fraîche de gros bovins de boucherie</t>
  </si>
  <si>
    <t>LA/02/94 Viande fraîche de gros bovins de boucherie</t>
  </si>
  <si>
    <t>LA/05/11 Viande fraîche de gros bovins de race Blonde d'Aquitaine</t>
  </si>
  <si>
    <t>LA/26/05 Viande fraîche de gros bovins de race Parthenaise</t>
  </si>
  <si>
    <t>LA/03/86 Viande fraîche de gros bovins fermiers</t>
  </si>
  <si>
    <t>LA/30/99 Viande fraîche de veau nourri au lait entier</t>
  </si>
  <si>
    <t>LA/22/89 Viande fraîche de veau nourri au lait entier</t>
  </si>
  <si>
    <t>LA/03/81 Viande fraîche de veau nourri par tétée au pis pouvant recevoir un aliment complémentaire liquide</t>
  </si>
  <si>
    <t>LA/20/92 Viande fraîche de veau nourri par tétée au pis pouvant recevoir un aliment complémentaire liquide</t>
  </si>
  <si>
    <t>LA/08/13 Viande fraîche de veau nourri par tétée au pis pouvant recevoir une alimentation complémentaire solide</t>
  </si>
  <si>
    <t>LA/22/88 Viande fraîche et surgelée de gros bovins de race limousine</t>
  </si>
  <si>
    <t>LA/29/01 Viande hachée fraîche et surgelée de gros bovins de boucherie</t>
  </si>
  <si>
    <t>LA/01/21 Viande hachée surgelée de gros bovins de boucherie</t>
  </si>
  <si>
    <t>LA/03/89 Viande abats et viande hachée frais et surgelés de gros bovins de race charolaise</t>
  </si>
  <si>
    <t>LA/34/99 Viandes hachées et préparations de viande fraîches et surgelées de veau élevé sous la mère pouvant recevoir un complément à base de fourrages et de céréales</t>
  </si>
  <si>
    <t>LA/12/04 Viande et abats frais de porc</t>
  </si>
  <si>
    <t>LA/04/15 Viande abats et gras de coche</t>
  </si>
  <si>
    <t>LA/09/89 Viandes et abats de porc fermier élevé en plein air frais et surgelés</t>
  </si>
  <si>
    <t>LA/17/90 Viandes et abats de porc frais et surgelés</t>
  </si>
  <si>
    <t>LA/17/06 Viandes et abats de porc frais et surgelés</t>
  </si>
  <si>
    <t>LA/04/89 Viandes et abats frais de porc</t>
  </si>
  <si>
    <t>LA/19/88 Viandes et abats frais de porc fermier élevé en plein air</t>
  </si>
  <si>
    <t>LA/08/91 Viandes et abats frais de porc fermier élevé en plein air</t>
  </si>
  <si>
    <t>LA/02/05 Viandes et abats frais ou surgelés de porc</t>
  </si>
  <si>
    <t>LA/16/98 Viandes fraîches de porc</t>
  </si>
  <si>
    <t>LA/16/06 Viandes fraîches et surgelées préparations dérivées et abats frais de porc</t>
  </si>
  <si>
    <t>LA/35/06 Viandes fraîches et surgelées préparations dérivées et abats frais de porc</t>
  </si>
  <si>
    <t>LA/20/88 Viandes fraîches ou surgelées et abats frais de porc fermier</t>
  </si>
  <si>
    <t>LA/31/06 Viandes abats et préparations de viande frais ou surgelés de porc</t>
  </si>
  <si>
    <t>LA/04/20 Viandes abats et préparations de viande frais ou surgelés de porc</t>
  </si>
  <si>
    <t>LA/05/89 Viandes et abats frais de porc fermier</t>
  </si>
  <si>
    <t>LA/09/91 Jambon cru de pays</t>
  </si>
  <si>
    <t>LA/07/17 Jambon cuit supérieur</t>
  </si>
  <si>
    <t>LA/45/88 Jambon cuit supérieur de porc fermier entier ou prétranché</t>
  </si>
  <si>
    <t>LA/21/88 Jambon cuit supérieur entier et pré-tranché</t>
  </si>
  <si>
    <t>LA/32/06 Jambon persillé</t>
  </si>
  <si>
    <t>LA/04/08 Jambon sec supérieur</t>
  </si>
  <si>
    <t>LA/07/08 Jambon sec supérieur</t>
  </si>
  <si>
    <t>LA/03/73 Jambon sec supérieur</t>
  </si>
  <si>
    <t>LA/14/08 Jambon sec supérieur</t>
  </si>
  <si>
    <t>LA/46/88 Jambon sec supérieur de porc fermier</t>
  </si>
  <si>
    <t>LA/29/99 Jambons cuits supérieurs entiers ou tranchés préemballés</t>
  </si>
  <si>
    <t>LA/15/00 Oeufs de poules élevées en plein air</t>
  </si>
  <si>
    <t>LA/06/02 Oeufs de poules élevées en plein air</t>
  </si>
  <si>
    <t>LA/08/03 Oeufs de poules élevées en plein air</t>
  </si>
  <si>
    <t>LA/34/06 Oeufs de poules élevées en plein air</t>
  </si>
  <si>
    <t>LA/06/12 Oeufs de poules élevées en plein air</t>
  </si>
  <si>
    <t>LA/23/01 Oeufs de poules élevées en plein air</t>
  </si>
  <si>
    <t>LA/04/02 Oeufs de poules élevées en plein air</t>
  </si>
  <si>
    <t>LA/09/97 Oeufs de poules élevées en plein air en coquille ou liquides</t>
  </si>
  <si>
    <t>LA/21/06 Oeufs de poules élevées en plein air en coquille ou liquides</t>
  </si>
  <si>
    <t>LA/05/05 Oeufs de poules élevées en plein air en coquille ou liquides</t>
  </si>
  <si>
    <t xml:space="preserve">LA/18/98 Oeufs fermiers de poules élevées en plein air en coquille ou liquides </t>
  </si>
  <si>
    <t>LA/03/99 Oeufs fermiers de poules élevées en plein air en coquille ou liquides</t>
  </si>
  <si>
    <t>LA/35/99 Oeufs fermiers en coquille ou liquides</t>
  </si>
  <si>
    <t>LA/01/10 Filets de maquereaux en conserve</t>
  </si>
  <si>
    <t>Mackerel</t>
  </si>
  <si>
    <t xml:space="preserve">LA/01/11 Bar d'aquaculture marine </t>
  </si>
  <si>
    <t>Sea bass</t>
  </si>
  <si>
    <t>LA/02/16 Conserves de maquereaux</t>
  </si>
  <si>
    <t>LA/01/03 Conserves de sardines pêchées à la bolinche</t>
  </si>
  <si>
    <t>Sardines</t>
  </si>
  <si>
    <t>LA/27/06 Conserves de thon</t>
  </si>
  <si>
    <t>Tuna</t>
  </si>
  <si>
    <t>LA/07/18 Conserves de thon albacore</t>
  </si>
  <si>
    <t>Albacore tuna</t>
  </si>
  <si>
    <t>LA/02/11 Daurade d’aquaculture marine</t>
  </si>
  <si>
    <t>Sea bream</t>
  </si>
  <si>
    <t>LA/04/11 Filets de hareng fumé doux</t>
  </si>
  <si>
    <t>Herring</t>
  </si>
  <si>
    <t>LA/03/11 Maigre d’aquaculture marine</t>
  </si>
  <si>
    <t>Meagre</t>
  </si>
  <si>
    <t>LA/07/16 Rillettes de saumon</t>
  </si>
  <si>
    <t>Salmon</t>
  </si>
  <si>
    <t>LA/33/99 Sardines à l'huile d'olive vierge extra préparées à l'ancienne</t>
  </si>
  <si>
    <t>LA/02/06 Sardines et filets de sardines pêchées à la bolinche</t>
  </si>
  <si>
    <t>LA/33/90 Saumon</t>
  </si>
  <si>
    <t>LA/31/05 Saumon Atlantique</t>
  </si>
  <si>
    <t>Atlantic salmon</t>
  </si>
  <si>
    <t>LA/02/17 Saumon farci</t>
  </si>
  <si>
    <t>LA/07/14 Saumon farci farce aux petits légumes</t>
  </si>
  <si>
    <t>LA/04/94 Saumon fumé</t>
  </si>
  <si>
    <t>Smoked salmon</t>
  </si>
  <si>
    <t>LA/15/02 Turbot et découpes de turbot d'aquaculture marine</t>
  </si>
  <si>
    <t>Turbot</t>
  </si>
  <si>
    <t>LA/20/90 Caille fermière élevée en plein air</t>
  </si>
  <si>
    <t>Quail</t>
  </si>
  <si>
    <t>LA/13/78 Caille jaune fermière élevée en plein air</t>
  </si>
  <si>
    <t>LA/04/74 Canard de Barbarie fermier élevé en plein air</t>
  </si>
  <si>
    <t>Duck</t>
  </si>
  <si>
    <t xml:space="preserve">LA/02/85 Canard fermier élevé en plein air </t>
  </si>
  <si>
    <t>LA/12/89 Canard mulard gavé entier foie gras cru et produits de découpes crus frais et magrets surgelés</t>
  </si>
  <si>
    <t>LA/06/04 Chapon blanc à pattes bleues fermier élevé en plein air entier et découpes frais ou surgelé</t>
  </si>
  <si>
    <t>Chicken</t>
  </si>
  <si>
    <t>LA/16/88 Chapon blanc fermier élevé en plein air</t>
  </si>
  <si>
    <t>LA/29/88 Chapon blanc fermier élevé en plein air</t>
  </si>
  <si>
    <t>LA/13/98 Chapon blanc fermier élevé en plein air</t>
  </si>
  <si>
    <t>LA/26/99 Chapon blanc fermier élevé en plein air</t>
  </si>
  <si>
    <t>LA/04/06 Chapon blanc fermier élevé en plein air</t>
  </si>
  <si>
    <t>LA/14/98 Chapon blanc fermier élevé en plein air</t>
  </si>
  <si>
    <t>LA/18/92 Chapon blanc fermier élevé en plein air</t>
  </si>
  <si>
    <t>LA/06/98 Chapon blanc fermier élevé en plein air</t>
  </si>
  <si>
    <t>LA/55/88 Chapon blanc fermier élevé en plein air entier et découpes frais ou surgelé</t>
  </si>
  <si>
    <t>LA/11/06 Chapon blanc fermier élevé en plein air entier et découpes frais ou surgelé</t>
  </si>
  <si>
    <t>LA/32/88 Chapon blanc fermier élevé en plein air entier et découpes frais ou surgelé</t>
  </si>
  <si>
    <t>LA/02/01 Chapon blanc fermier élevé en plein air entier et découpes frais ou surgelé</t>
  </si>
  <si>
    <t>LA/16/00 Chapon blanc fermier élevé en plein air entier et découpes frais ou surgelé</t>
  </si>
  <si>
    <t>LA/29/89 Chapon blanc fermier élevé en plein air entier et découpes frais ou surgelé</t>
  </si>
  <si>
    <t>LA/14/94 Chapon de pintade fermier élevé en plein air</t>
  </si>
  <si>
    <t>Fowl</t>
  </si>
  <si>
    <t>LA/07/20 Chapon de pintade fermier élevé en plein air</t>
  </si>
  <si>
    <t>LA/06/20 Chapon de pintade fermier élevé en plein air</t>
  </si>
  <si>
    <t>LA/16/94 Chapon de pintade fermier élevé en plein air</t>
  </si>
  <si>
    <t>LA/04/07 Chapon de pintade fermier élevé en plein air</t>
  </si>
  <si>
    <t>LA/15/94 Chapon de pintade fermier élevé en plein air</t>
  </si>
  <si>
    <t>LA/08/95 Chapon de pintade fermier élevé en plein air</t>
  </si>
  <si>
    <t>LA/01/14 Chapon de pintade fermier élevé en plein air entier et découpes frais ou surgelé</t>
  </si>
  <si>
    <t>LA/02/97 Chapon de pintade fermier élevé en plein air entier et découpes frais ou surgelé</t>
  </si>
  <si>
    <t>LA/19/94 Chapon de pintade fermier élevé en plein air entier et découpes frais ou surgelé</t>
  </si>
  <si>
    <t>LA/17/94 Chapon de pintade jaune fermier élevé en plein air entier et découpes frais ou surgelé</t>
  </si>
  <si>
    <t xml:space="preserve">LA/28/88 Chapon fermier élevé en plein air </t>
  </si>
  <si>
    <t>LA/17/97 Chapon fermier élevé en plein air entier et découpes frais</t>
  </si>
  <si>
    <t>LA/30/88 Chapon fermier élevé en plein air entier et découpes frais ou surgelé</t>
  </si>
  <si>
    <t>LA/14/91 Chapon fermier élevé en plein air entier et découpes surgelé</t>
  </si>
  <si>
    <t>LA/12/02 Chapon jaune fermier élevé en plein air</t>
  </si>
  <si>
    <t>LA/18/02 Chapon jaune fermier élevé en plein air</t>
  </si>
  <si>
    <t>LA/17/00 Chapon jaune fermier élevé en plein air</t>
  </si>
  <si>
    <t>LA/05/06 Chapon jaune fermier élevé en plein air</t>
  </si>
  <si>
    <t>LA/14/88 Chapon jaune fermier élevé en plein air</t>
  </si>
  <si>
    <t>LA/31/88 Chapon jaune fermier élevé en plein air</t>
  </si>
  <si>
    <t>LA/21/94 Chapon jaune fermier élevé en plein air</t>
  </si>
  <si>
    <t>LA/48/88 Chapon jaune fermier élevé en plein air</t>
  </si>
  <si>
    <t>LA/28/89 Chapon jaune fermier élevé en plein air</t>
  </si>
  <si>
    <t>LA/04/17 Chapon jaune fermier élevé en plein air</t>
  </si>
  <si>
    <t>LA/12/06 Chapon jaune fermier élevé en plein air entier et découpes frais ou surgelé</t>
  </si>
  <si>
    <t>LA/19/00 Chapon jaune fermier élevé en plein air entier et découpes frais ou surgelé</t>
  </si>
  <si>
    <t>LA/14/89 Chapon jaune fermier élevé en plein air entier et découpes frais ou surgelé</t>
  </si>
  <si>
    <t>LA/03/97 Chapon jaune fermier élevé en plein air entier et découpes frais ou surgelé</t>
  </si>
  <si>
    <t>LA/54/88 Chapon noir fermier élevé en plein air</t>
  </si>
  <si>
    <t>LA/17/88 Chapon noir fermier élevé en plein air</t>
  </si>
  <si>
    <t>LA/23/90 Chapon noir fermier élevé en plein air</t>
  </si>
  <si>
    <t>LA/18/06 Chapon noir fermier élevé en plein air entier et découpes frais</t>
  </si>
  <si>
    <t>LA/02/98 Dinde de découpe fermière élevée en plein air fraîche ou surgelée</t>
  </si>
  <si>
    <t>Turkey</t>
  </si>
  <si>
    <t>LA/06/71 Dinde de Noël fermière élevée en plein air</t>
  </si>
  <si>
    <t>LA/03/72 Dinde de Noël fermière élevée en plein air</t>
  </si>
  <si>
    <t>LA/08/84 Dinde de Noël fermière élevée en plein air</t>
  </si>
  <si>
    <t>LA/06/87 Dinde de Noël fermière élevée en plein air</t>
  </si>
  <si>
    <t>LA/10/80 Dinde de Noël fermière élevée en plein air</t>
  </si>
  <si>
    <t>LA/11/86 Dinde de Noël fermière élevée en plein air</t>
  </si>
  <si>
    <t>LA/16/91 Dinde de Noël fermière élevée en plein air</t>
  </si>
  <si>
    <t>LA/15/93 Dinde de Noël fermière élevée en plein air</t>
  </si>
  <si>
    <t>LA/05/79 Dinde de Noël fermière élevée en plein air entière fraîche</t>
  </si>
  <si>
    <t>LA/08/82 Dinde de Noël fermière élevée en plein air entière fraîche</t>
  </si>
  <si>
    <t>LA/15/92 Dinde de Noël fermière élevée en plein air entière fraîche</t>
  </si>
  <si>
    <t>LA/14/77 Dinde de Noël fermière élevée en plein air entière fraîche</t>
  </si>
  <si>
    <t>LA/26/88 Dinde de Noël fermière élevée en plein air entière fraîche ou surgelée</t>
  </si>
  <si>
    <t>LA/05/78 Dinde de Noël fermière élevée en plein air entière fraîche ou surgelée</t>
  </si>
  <si>
    <t xml:space="preserve">LA/04/97 Dinde de Noël fermière élevée en plein air entière fraîche ou surgelée </t>
  </si>
  <si>
    <t>LA/04/86 Dinde de Noël fermière élevée en plein air entière fraîche ou surgelée</t>
  </si>
  <si>
    <t>LA/06/86 Dinde fermière de Noël élevée en plein air</t>
  </si>
  <si>
    <t>LA/13/95 Dinde fermière de Noël élevée en plein air</t>
  </si>
  <si>
    <t>LA/04/88 Dinde fermière de Noël élevée en plein air entière fraîche</t>
  </si>
  <si>
    <t>LA/17/89 Foie gras cru et produits de découpe d'oie gavée</t>
  </si>
  <si>
    <t>LA/16/89 Foie gras cru et produits de découpe de canard mulard gavé</t>
  </si>
  <si>
    <t xml:space="preserve">LA/09/14 Mini-chapon blanc fermier élevé en plein air entier et découpes frais ou surgelé </t>
  </si>
  <si>
    <t>LA/01/07 Mini-chapon fermier élevé en plein air</t>
  </si>
  <si>
    <t>LA/10/14 Mini-chapon fermier élevé en plein air</t>
  </si>
  <si>
    <t>LA/08/14 Mini-chapon fermier élevé en plein air entier et découpes frais ou surgelé</t>
  </si>
  <si>
    <t>LA/07/84 Oie fermière élevée en plein air</t>
  </si>
  <si>
    <t>Goose</t>
  </si>
  <si>
    <t>LA/16/97 Oie fermière élevée en plein air</t>
  </si>
  <si>
    <t>LA/20/97 Oie fermière élevée en plein air</t>
  </si>
  <si>
    <t>LA/09/93 Oie fermière élevée en plein air entière fraîche ou surgelée</t>
  </si>
  <si>
    <t>LA/01/74 Pintade fermière élevée en plein air</t>
  </si>
  <si>
    <t xml:space="preserve">LA/25/88 Pintade fermière élevée en plein air </t>
  </si>
  <si>
    <t>LA/09/87 Pintade fermière élevée en plein air</t>
  </si>
  <si>
    <t xml:space="preserve">LA/03/82 Pintade fermière élevée en plein air </t>
  </si>
  <si>
    <t>LA/10/77 Pintade fermière élevée en plein air</t>
  </si>
  <si>
    <t>LA/09/94 Pintade fermière élevée en plein air</t>
  </si>
  <si>
    <t>LA/01/89 Pintade fermière élevée en plein air</t>
  </si>
  <si>
    <t>LA/06/92 Pintade fermière élevée en plein air</t>
  </si>
  <si>
    <t>LA/11/97 Pintade fermière élevée en plein air entière et découpes fraîche</t>
  </si>
  <si>
    <t xml:space="preserve">LA/06/93 Pintade fermière élevée en plein air entière et découpes fraîche ou surgelée </t>
  </si>
  <si>
    <t>LA/08/94 Pintade fermière élevée en plein air entière et découpes fraîche ou surgelée</t>
  </si>
  <si>
    <t>LA/04/90 Pintade fermière élevée en plein air entière et découpes fraîche ou surgelée</t>
  </si>
  <si>
    <t>LA/02/87 Pintade fermière élevée en plein air entière et découpes fraîche ou surgelée</t>
  </si>
  <si>
    <t>LA/60/88 Pintade fermière élevée en plein air entière et découpes fraîche ou surgelée</t>
  </si>
  <si>
    <t>LA/02/84 Pintade fermière élevée en plein air entière et découpes fraîche ou surgelée</t>
  </si>
  <si>
    <t>LA/09/92 Pintade fermière élevée en plein air entière et découpes fraîche ou surgelée</t>
  </si>
  <si>
    <t>LA/09/66 Pintade jaune fermière élevée en plein air entière et découpes fraîche ou surgelée</t>
  </si>
  <si>
    <t>LA/21/98 Pintadeau</t>
  </si>
  <si>
    <t>LA/51/88 Poularde blanche fermière élevée en plein air</t>
  </si>
  <si>
    <t>LA/28/01 Poularde blanche fermière élevée en plein air</t>
  </si>
  <si>
    <t>LA/10/02 Poularde blanche fermière élevée en plein air</t>
  </si>
  <si>
    <t>LA/10/94 Poularde blanche fermière élevée en plein air</t>
  </si>
  <si>
    <t>LA/12/91 Poularde blanche fermière élevée en plein air entière et découpes fraîche ou surgelée</t>
  </si>
  <si>
    <t>LA/15/91 Poularde fermière élevée en plein air</t>
  </si>
  <si>
    <t>LA/13/92 Poularde fermière élevée en plein air</t>
  </si>
  <si>
    <t>LA/25/99 Poularde fermière élevée en plein air entière et découpes fraîche</t>
  </si>
  <si>
    <t>LA/11/91 Poularde fermière élevée en plein air entière et découpes fraîche ou surgelée</t>
  </si>
  <si>
    <t>LA/14/92 Poularde fermière élevée en plein air entière et découpes surgelée</t>
  </si>
  <si>
    <t>LA/13/02 Poularde jaune fermière élevée en plein air</t>
  </si>
  <si>
    <t>LA/05/20 Poularde jaune fermière élevée en plein air</t>
  </si>
  <si>
    <t>LA/04/13 Poularde jaune fermière élevée en plein air</t>
  </si>
  <si>
    <t>LA/10/91 Poularde jaune fermière élevée en plein air</t>
  </si>
  <si>
    <t>LA/06/10 Poularde jaune fermière élevée en plein air</t>
  </si>
  <si>
    <t>LA/07/93 Poularde jaune fermière élevée en plein air entière et découpes fraîche ou surgelée</t>
  </si>
  <si>
    <t xml:space="preserve">LA/13/91 Poularde jaune fermière élevée en plein air entière et découpes fraîche ou surgelée </t>
  </si>
  <si>
    <t>LA/10/92 Poularde noire fermière élevée en plein air</t>
  </si>
  <si>
    <t>LA/35/88 Poule fermière élevée en liberté</t>
  </si>
  <si>
    <t>LA/14/95 Poulet blanc à pattes bleues fermier élevé en plein air entier et découpes frais ou surgelé</t>
  </si>
  <si>
    <t>LA/04/12 Poulet blanc cou nu fermier élevé en liberté</t>
  </si>
  <si>
    <t>LA/52/88 Poulet blanc fermier de 100 jours élevé en liberté</t>
  </si>
  <si>
    <t>LA/12/66 Poulet blanc fermier élevé en liberté</t>
  </si>
  <si>
    <t>LA/02/71 Poulet blanc fermier élevé en liberté entier et découpes frais ou surgelé</t>
  </si>
  <si>
    <t>LA/08/11 Poulet blanc fermier élevé en liberté entier et découpes frais ou surgelé</t>
  </si>
  <si>
    <t>LA/08/05 Poulet blanc fermier élevé en plein air</t>
  </si>
  <si>
    <t>LA/05/84 Poulet blanc fermier élevé en plein air</t>
  </si>
  <si>
    <t>LA/02/93 Poulet blanc fermier élevé en plein air</t>
  </si>
  <si>
    <t>LA/07/82 Poulet blanc fermier élevé en plein air</t>
  </si>
  <si>
    <t>LA/08/76 Poulet blanc fermier élevé en plein air</t>
  </si>
  <si>
    <t xml:space="preserve">LA/04/87 Poulet blanc fermier élevé en plein air </t>
  </si>
  <si>
    <t xml:space="preserve">LA/08/80 Poulet blanc fermier élevé en plein air </t>
  </si>
  <si>
    <t>LA/01/02 Poulet blanc fermier élevé en plein air</t>
  </si>
  <si>
    <t>LA/07/13 Poulet blanc fermier élevé en plein air</t>
  </si>
  <si>
    <t>LA/07/86 Poulet blanc fermier élevé en plein air</t>
  </si>
  <si>
    <t>LA/08/87 Poulet blanc fermier élevé en plein air</t>
  </si>
  <si>
    <t>LA/09/82 Poulet blanc fermier élevé en plein air</t>
  </si>
  <si>
    <t>LA/13/88 Poulet blanc fermier élevé en plein air</t>
  </si>
  <si>
    <t>LA/01/94 Poulet blanc fermier élevé en plein air</t>
  </si>
  <si>
    <t>LA/11/98 Poulet blanc fermier élevé en plein air</t>
  </si>
  <si>
    <t>LA/02/82 Poulet blanc fermier élevé en plein air</t>
  </si>
  <si>
    <t>LA/04/84 Poulet blanc fermier élevé en plein air entier et découpes frais</t>
  </si>
  <si>
    <t>LA/01/85 Poulet blanc fermier élevé en plein air entier et découpes frais</t>
  </si>
  <si>
    <t>LA/22/90 Poulet blanc fermier élevé en plein air entier et découpes frais</t>
  </si>
  <si>
    <t>LA/11/01 Poulet blanc fermier élevé en plein air entier et découpes frais ou surgelé</t>
  </si>
  <si>
    <t>LA/03/04 Poulet blanc fermier élevé en plein air entier et découpes frais ou surgelé</t>
  </si>
  <si>
    <t>LA/04/04 Poulet blanc fermier élevé en plein air entier et découpes frais ou surgelé</t>
  </si>
  <si>
    <t xml:space="preserve">LA/16/92 Poulet blanc fermier élevé en plein air entier et découpes frais ou surgelé </t>
  </si>
  <si>
    <t>LA/11/80 Poulet blanc fermier élevé en plein air entier et découpes frais ou surgelé</t>
  </si>
  <si>
    <t>LA/17/87 Poulet blanc fermier élevé en plein air entier et découpes frais ou surgelé</t>
  </si>
  <si>
    <t>LA/03/95 Poulet blanc fermier élevé en plein air entier et découpes frais ou surgelé</t>
  </si>
  <si>
    <t>LA/04/78 Poulet blanc fermier élevé en plein air entier et découpes frais ou surgelé</t>
  </si>
  <si>
    <t>LA/14/90 Poulet blanc fermier élevé en plein air entier et découpes surgelé</t>
  </si>
  <si>
    <t>LA/05/12 Poulet jaune fermier de 100 jours élevé en liberté</t>
  </si>
  <si>
    <t>LA/04/81 Poulet jaune fermier élevé en liberté</t>
  </si>
  <si>
    <t>LA/01/65 Poulet jaune fermier élevé en liberté entier et découpes frais ou surgelé</t>
  </si>
  <si>
    <t>LA/07/11 Poulet jaune fermier élevé en liberté entier et découpes frais ou surgelé</t>
  </si>
  <si>
    <t>LA/04/72 Poulet jaune fermier élevé en liberté entier et découpes frais ou surgelé</t>
  </si>
  <si>
    <t>LA/11/14 Poulet jaune fermier élevé en plein air</t>
  </si>
  <si>
    <t>LA/14/87 Poulet jaune fermier élevé en plein air</t>
  </si>
  <si>
    <t>LA/01/84 Poulet jaune fermier élevé en plein air</t>
  </si>
  <si>
    <t>LA/56/88 Poulet jaune fermier élevé en plein air</t>
  </si>
  <si>
    <t xml:space="preserve">LA/07/85 Poulet jaune fermier élevé en plein air </t>
  </si>
  <si>
    <t>LA/02/86 Poulet jaune fermier élevé en plein air</t>
  </si>
  <si>
    <t>LA/01/81 Poulet jaune fermier élevé en plein air</t>
  </si>
  <si>
    <t>LA/12/77 Poulet jaune fermier élevé en plein air</t>
  </si>
  <si>
    <t>LA/03/17 Poulet jaune fermier élevé en plein air</t>
  </si>
  <si>
    <t>LA/01/78 Poulet jaune fermier élevé en plein air</t>
  </si>
  <si>
    <t xml:space="preserve">LA/06/88 Poulet jaune fermier élevé en plein air </t>
  </si>
  <si>
    <t>LA/03/00 Poulet jaune fermier élevé en plein air</t>
  </si>
  <si>
    <t>LA/15/88 Poulet jaune fermier élevé en plein air</t>
  </si>
  <si>
    <t>LA/22/99 Poulet jaune fermier élevé en plein air</t>
  </si>
  <si>
    <t>LA/19/01 Poulet jaune fermier élevé en plein air</t>
  </si>
  <si>
    <t>LA/05/17 Poulet jaune fermier élevé en plein air</t>
  </si>
  <si>
    <t xml:space="preserve">LA/01/06 Poulet jaune fermier élevé en plein air </t>
  </si>
  <si>
    <t>LA/08/01 Poulet jaune fermier élevé en plein air</t>
  </si>
  <si>
    <t>LA/14/01 Poulet jaune fermier élevé en plein air entier et découpes frais</t>
  </si>
  <si>
    <t>LA/23/92 Poulet jaune fermier élevé en plein air entier et découpes frais ou surgelé</t>
  </si>
  <si>
    <t>LA/50/88 Poulet jaune fermier élevé en plein air entier et découpes frais ou surgelé</t>
  </si>
  <si>
    <t>LA/18/01 Poulet jaune fermier élevé en plein air entier et découpes frais ou surgelé</t>
  </si>
  <si>
    <t>LA/02/91 Poulet jaune fermier élevé en plein air entier et découpes frais ou surgelé</t>
  </si>
  <si>
    <t>LA/57/88 Poulet jaune fermier élevé en plein air entier et découpes frais ou surgelé</t>
  </si>
  <si>
    <t>LA/06/05 Poulet jaune fermier élevé en plein air entier et découpes frais ou surgelé</t>
  </si>
  <si>
    <t>LA/03/93 Poulet jaune fermier élevé en plein air entier et découpes frais ou surgelé</t>
  </si>
  <si>
    <t>LA/23/98 Poulet jaune fermier élevé en plein air entier et découpes frais ou surgelé</t>
  </si>
  <si>
    <t>LA/13/77 Poulet noir fermier élevé en liberté</t>
  </si>
  <si>
    <t>LA/01/79 Poulet noir fermier élevé en liberté entier et découpes frais ou surgelé</t>
  </si>
  <si>
    <t>LA/12/14 poulet noir fermier élevé en plein air</t>
  </si>
  <si>
    <t>LA/01/97 Poulet noir fermier élevé en plein air</t>
  </si>
  <si>
    <t>LA/05/69 Poulet noir fermier élevé en plein air</t>
  </si>
  <si>
    <t>LA/23/06 Poulet noir fermier élevé en plein air</t>
  </si>
  <si>
    <t>LA/25/98 Poulet noir fermier élevé en plein air</t>
  </si>
  <si>
    <t>LA/02/79 Poulet noir fermier élevé en plein air</t>
  </si>
  <si>
    <t>LA/03/83 Poulet noir fermier élevé en plein air</t>
  </si>
  <si>
    <t>LA/08/85 Poulet noir fermier élevé en plein air</t>
  </si>
  <si>
    <t>LA/01/18 Poulet noir fermier élevé en plein air</t>
  </si>
  <si>
    <t>LA/07/71 Poulet noir fermier élevé en plein air</t>
  </si>
  <si>
    <t>LA/18/89 Poulet noir fermier élevé en plein air</t>
  </si>
  <si>
    <t>LA/02/75 Poulet noir fermier élevé en plein air</t>
  </si>
  <si>
    <t>LA/10/81 Poulet noir fermier élevé en plein air entier et découpes frais</t>
  </si>
  <si>
    <t>LA/05/98 Poulet noir fermier élevé en plein air entier et découpes frais ou surgelé</t>
  </si>
  <si>
    <t>LA/01/15 Poulet noir fermier élevé en plein air entier et découpes frais ou surgelé</t>
  </si>
  <si>
    <t>LA/03/90 Poulet noir fermier élevé en plein air entier et découpes frais ou surgelé</t>
  </si>
  <si>
    <t>LA/19/89 Poulet noir fermier élevé en plein air entier et découpes surgelé</t>
  </si>
  <si>
    <t>LA/03/12 Poularde noire fermière élevée en plein air, entière et découpes, fraîche ou surgelée</t>
  </si>
  <si>
    <t>LA/05/13 Chapon de pintade fermier élevé en plein air, entier et découpes, frais ou surgelé</t>
  </si>
  <si>
    <t>Nutri-Score</t>
  </si>
  <si>
    <t>France, Belgium, Germany, Luxembourg, the Netherlands, Spain and Switzerland</t>
  </si>
  <si>
    <t>THE NUTRI-SCORE is an interpretative front-of-pack nutrition label with summary graded colour-coding, based on a five-colour nutritional scale (from dark green to dark orange) associated with letters, from A to E, to optimize label accessibility and understanding by consumers of food products.Based on a rigorous scientific background, the Nutri-Score nutrition label was developed with the aims to inform consumers, in a simple and understandable way, on the overall nutritional value of foods, in order to help them make better informed and healthier choices at the point of purchase. The second objective of the Nutri-Score is to encourage manufacturers to improve the nutritional composition of their products through reformulations and/or innovations, in order for their products to contain lower amounts of nutrients of concern and thus to be better positioned on the Nutri-Score colour scale."  WHY THE EUROPEAN COMMISSION MUST CHOOSE THE NUTRI-SCORE NUTRITION LABEL - A PUBLIC HEALTH TOOL BASED ON RIGOROUS SCIENTIFIC EVIDENCE - AS THE HARMONIZED MANDATORY NUTRITION LABEL FOR EUROPE, p. 6.</t>
  </si>
  <si>
    <t>https://www.bmel.de/DE/themen/ernaehrung/lebensmittel-kennzeichnung/freiwillige-angaben-und-label/nutri-score/nutri-score_node.html</t>
  </si>
  <si>
    <t xml:space="preserve">The Nutri-Score nutrition label aims to inform consumers on the overall nutritional value of foods; applied in France, Belgium, Germany, Luxembourg, the Netherlands, Spain and Switzerland; not legally binding. </t>
  </si>
  <si>
    <t>Antigaspillage Alimentaire</t>
  </si>
  <si>
    <t>I, M</t>
  </si>
  <si>
    <t>Its aim is to improve and promote practices, and to guarantee a reduced level of food waste to consumers, professional partners, and the public in general.</t>
  </si>
  <si>
    <t>https://anti-gaspillage.fr</t>
  </si>
  <si>
    <t>Yes - research and development in food waste reduction practices.</t>
  </si>
  <si>
    <t xml:space="preserve">Food waste prevention; applied in France; not legally binding. </t>
  </si>
  <si>
    <t>AB (L’agriculture biologique), frequently used along the Organic Farming label (EU - wide standard)</t>
  </si>
  <si>
    <t>AB is a system of sustainable management for agriculture, a wide variety of quality food and agricultural products, and a source of innovations for agriculture, in an agro-ecological approach.</t>
  </si>
  <si>
    <t>https://icea.bio/en/certifications/food/organic-inspection/agriculture-biologique-france/</t>
  </si>
  <si>
    <t>Yes - research and innovations in sustainable agriculture.</t>
  </si>
  <si>
    <t>Sustainable and responsible production system, a source of innovations for agriculture, in an agro-ecological approach; applied in the EU; not legally binding.</t>
  </si>
  <si>
    <t>Haute Valeur Environmental (HVE)</t>
  </si>
  <si>
    <t>High environmental value (HEV) corresponds to the highest level of a more general scheme of environmental certification for farms.The farm environmental certification is a voluntary approach which aims to identify and promote particularly environmentally-friendly practices applied by farmers. HEV covers four key areas: biodiversity conservation, plant protection strategy, management of fertiliser use and management of water.</t>
  </si>
  <si>
    <t>https://agriculture.gouv.fr/hev-certification</t>
  </si>
  <si>
    <t>Sustainable, responsible  farming, supporting biodiversity; applied in France based on farm participation; not legally binding.</t>
  </si>
  <si>
    <t>Pêche Durable</t>
  </si>
  <si>
    <t>G, J, K</t>
  </si>
  <si>
    <t>Primary Production, Retail and Other Distribution (including wholesale)</t>
  </si>
  <si>
    <t>To be certified, fisheries must comply with 4 requirements of the ecolabel standard, verified by a certification audit:
- The ecosystem: Guarantee that fishing activity does not significantly impact the ecosystem, that is to say the targeted resource but also the non-target species and the habitat in which the fishery operates.
- The environment: Guarantee that fishing activity has a limited impact on the environment: reduce fossil energy, improve waste management and pollution prevention.
- Social: Ensure a satisfactory level of living and working conditions on board ships for crews. The criteria relate in particular to safety and crew training.
- Quality : Guarantee a high level of freshness of eco-labelled products.
This eco-label meets the commitments of the Grenelle de l'environnement and the Grenelle de la mer. It follows the guidelines of the FAO (Food and Agriculture Organization of the United Nations) on the eco-labeling of products from the fishing, enriched with new criteria (social and quality criteria) in order to cover all the pillars of sustainable development.
This label, launched in late 2014 and effective since January 2017, covers various sustainability criteria including ecosystem preservation, environmental impact, social factors, and quality, as well as waste management, energy usage, worker compensation, and safety. It's certified by COFRAC-accredited bodies in line with ISO 17065 and FAO guidelines.</t>
  </si>
  <si>
    <t>https://agriculture.gouv.fr/lecolabel-public-peche-durable#:~:text=Depuis%202017%2C%20l'écolabel%20«,exigences%20environnementales%2C%20économiques%20et%20sociales.</t>
  </si>
  <si>
    <t xml:space="preserve">Yes - research and development in sustainable fish production. </t>
  </si>
  <si>
    <t>Environmentally-friendly, high-quality fish production; international; not legally binding.</t>
  </si>
  <si>
    <t>Origine France Garantie</t>
  </si>
  <si>
    <t>All commodities that can be qualified for the OFG.</t>
  </si>
  <si>
    <t>F, J, K</t>
  </si>
  <si>
    <t>For consumers clear information on the origin of a product and allow companies that carry out this certification process to promote their production. At least 50 percent of the unit cost price is acquired in France.</t>
  </si>
  <si>
    <t>https://www.economie.gouv.fr/cedef/label-origine-france-garantie 
https://www.originefrancegarantie.fr/annuaire-des-produits-certifies/categorie/agroalimentaire</t>
  </si>
  <si>
    <t>Provides information on the origin of a product (France); applied in France, can be recognised by consumers elsewhere; not legally binding.</t>
  </si>
  <si>
    <t>Certification de conformité des produits (CCP)</t>
  </si>
  <si>
    <t>D, E, F, G</t>
  </si>
  <si>
    <t>The specific characteristics of the product are based on objective, measurable, controllable and meaningful criteria for consumers. They are recorded in specifications which can be drawn up by a collective structure or an individual operator. Therefore interested in the composition of the product, its visual, olfactory and taste characteristics or certain manufacturing rules. Each certification request is registered by the Ministry of Agriculture and Food. It is then submitted to certifying bodies (OC). Accredited by the French Accreditation Committee (COFRAC), CBs are required to comply with specific requirements for product conformity certification.</t>
  </si>
  <si>
    <t>https://agriculture.gouv.fr/quest-ce-que-la-certification-de-conformite-des-produits-ccp</t>
  </si>
  <si>
    <t>Certifies the composition of the product, its visual, olfactory and taste characteristics or certain manufacturing rules; applied in France; not legally binding.</t>
  </si>
  <si>
    <t>Produit en Bretagne</t>
  </si>
  <si>
    <t>The product authorization process includes the control over 
- the name of the product
- the manufacturing site (prior to joining, the production unit of the future member has been the subject of a quality audit which must prove positive.)
- the commercial brand
- nutritional values
- the composition
- the origin of the main raw materials
- the manufacturing process.</t>
  </si>
  <si>
    <t>https://www.produitenbretagne.bzh</t>
  </si>
  <si>
    <t>Certifies origin and manufacturing process; applied in France; not legally binding.</t>
  </si>
  <si>
    <t>Code rural et de la pêche maritime</t>
  </si>
  <si>
    <t>A, B, C, D, E</t>
  </si>
  <si>
    <t>French rural and maritime fishing code - the main country legislation on fish.</t>
  </si>
  <si>
    <t>https://www.legifrance.gouv.fr/download/pdf/legiOrKali?id=LEGITEXT000022197698.pdf&amp;size=8,3%20Mo&amp;pathToFile=/LEGI/TEXT/00/00/22/19/76/98/LEGITEXT000022197698/LEGITEXT000022197698.pdf&amp;title=Code%20rural%20et%20de%20la%20p%C3%AAche%20maritime</t>
  </si>
  <si>
    <t>Rural and maritime fishing code - the main country legislation on fish; applied in France; legally binding.</t>
  </si>
  <si>
    <t>БДС 10909:1986</t>
  </si>
  <si>
    <t>Bulgaria</t>
  </si>
  <si>
    <t>Fruits and vegetables fresh - terms and definitions.</t>
  </si>
  <si>
    <t>https://bds-bg.org/bg/project/list?keywords=%D0%9F%D0%BB%D0%BE%D0%B4%D0%BE%D0%B2%D0%B5&amp;status%5B0%5D=IN_DEVELOPMENT&amp;status%5B1%5D=PUBLISHED&amp;operatorCommittee=1&amp;operatorStdType=3&amp;listMode=DEFAULT</t>
  </si>
  <si>
    <t>Official aim: standardization of products and ensuring high quality for consumers. The content of the standards is not publicly available; applied in Bulgaria; not legally binding.</t>
  </si>
  <si>
    <t>БДС 17340:1993</t>
  </si>
  <si>
    <t>Frozen fruits and vegetables - determination of mass - net.</t>
  </si>
  <si>
    <t>БДС 1995:1972 + Amendment 1976 and 1982</t>
  </si>
  <si>
    <t>Frozen strawberry fruits</t>
  </si>
  <si>
    <t>БДС 1066:1979 + Amendment 1982, 1986 and 1992</t>
  </si>
  <si>
    <t>Vegetables</t>
  </si>
  <si>
    <t>Frozen vegetables</t>
  </si>
  <si>
    <t>https://bds-bg.org/bg/project/show/bds:proj:15379</t>
  </si>
  <si>
    <t>БДС 15562:1982</t>
  </si>
  <si>
    <t>Fish, invertebrates and their products - terms and definitions</t>
  </si>
  <si>
    <t>https://bds-bg.org/bg/project/list?keywords=%D1%80%D0%B8%D0%B1%D0%B0&amp;status%5B1%5D=PUBLISHED&amp;operatorCommittee=1&amp;originator=BDS&amp;operatorStdType=3&amp;listMode=DEFAULT</t>
  </si>
  <si>
    <t>БДС 3607:1982</t>
  </si>
  <si>
    <t>Fish, invertebrates and their products - classification</t>
  </si>
  <si>
    <t>БДС 3419:1978</t>
  </si>
  <si>
    <t>Fish and fish products - sampling rules</t>
  </si>
  <si>
    <t>БДС 5915:1982 + Amendment 1986</t>
  </si>
  <si>
    <t>Frozen fish - general requirements (mackerel, white fish, shark, hake, pangasius).</t>
  </si>
  <si>
    <t>БДС 8381:1982 + Amendment 1984</t>
  </si>
  <si>
    <t>Fresh fish and chilled fish - general requirements</t>
  </si>
  <si>
    <t>БДС 13360:1976</t>
  </si>
  <si>
    <t>Wheat</t>
  </si>
  <si>
    <t>Grain - methods for determining the typical composition of wheat</t>
  </si>
  <si>
    <t>https://bds-bg.org/bg/project/list?keywords=%D0%B7%D1%8A%D1%80%D0%BD%D0%B5%D0%BD%D0%B8&amp;status%5B1%5D=PUBLISHED&amp;operatorCommittee=1&amp;originator=BDS&amp;operatorStdType=3&amp;listMode=DEFAULT</t>
  </si>
  <si>
    <t>БДС 13375:1988 + Amendment 1990</t>
  </si>
  <si>
    <t>Grain - methods for determining the quantity and quality of gluten in wheat</t>
  </si>
  <si>
    <t>БДС 13359:1976</t>
  </si>
  <si>
    <t>Grain - method for determining chaff (husks)</t>
  </si>
  <si>
    <t>БДС 13378:1976</t>
  </si>
  <si>
    <t>Grain - methods for determining vitreousness</t>
  </si>
  <si>
    <t>БДС 13380:1988 + Amendments 1999 and 2000</t>
  </si>
  <si>
    <t>Grain - methods for determining the content of impurities and small grain, the alignment and the coarseness</t>
  </si>
  <si>
    <t>БДС 13486:1976</t>
  </si>
  <si>
    <t>Grain - method for determining the amount of grain in corn on the cob</t>
  </si>
  <si>
    <t>БДС 13487:1986</t>
  </si>
  <si>
    <t>Grain - method for determining acidity content</t>
  </si>
  <si>
    <t>БДС 13488:1976</t>
  </si>
  <si>
    <t>Grain - method for determining starch content</t>
  </si>
  <si>
    <t>БДС 13490:1976</t>
  </si>
  <si>
    <t>Grain - method for determining protein content</t>
  </si>
  <si>
    <t>БДС 13491:1976</t>
  </si>
  <si>
    <t>Grain - method for determining the ash content</t>
  </si>
  <si>
    <t>БДС 15443:1982</t>
  </si>
  <si>
    <t>Non-ferrous ores and concentrates. Sieve and sedimentation method for determining grain size composition</t>
  </si>
  <si>
    <t>БДС 433:1987 + Amendments 1989 and 1990</t>
  </si>
  <si>
    <t>Rice</t>
  </si>
  <si>
    <t>БДС 602:1987</t>
  </si>
  <si>
    <t>Marketable and distributable wheat</t>
  </si>
  <si>
    <t>Утвърден Стандарт “България” 05 / 2019</t>
  </si>
  <si>
    <t>Whole wheat flour</t>
  </si>
  <si>
    <t>A, C, D, E, F, K, M</t>
  </si>
  <si>
    <t>Wheat flour standard
The document outlines the standards for whole wheat flour intended for human consumption. These standards specify the quality and composition requirements for the flour, including moisture content, ash content, protein levels, and particle size. The flour must be produced from non-genetically modified wheat and meet specific health and hygiene standards, including limits on contaminants such as heavy metals and mycotoxins. 
The document also emphasizes the importance of proper processing and packaging to maintain the flour's quality, with detailed requirements for storage and transportation. Packaging must ensure that the product remains free from harmful microorganisms and other impurities, and labelling must accurately reflect the product's identity and comply with relevant regulations. 
Additionally, the standards include guidelines for sampling and testing to verify compliance, ensuring that the whole wheat flour meets the necessary safety, quality, and labelling criteria for consumer protection and market distribution.</t>
  </si>
  <si>
    <t>https://bfsa.egov.bg/wps/wcm/connect/bfsa.egov.bg19113/9a6dc01b-78cf-4f23-b9ea-6a97b0044c79/%D0%A3%D1%82%D0%B2%D1%8A%D1%80%D0%B4%D0%B5%D0%BD+%D1%81%D1%82%D0%B0%D0%BD%D0%B4%D0%B0%D1%80%D1%82+05-2019+%D0%91%D0%A0%D0%90%D0%A8%D0%9D%D0%9E+%D0%9F%D0%A8%D0%95%D0%9D%D0%98%D0%A7%D0%9D%D0%9E+%D0%9F%D0%AA%D0%9B%D0%9D%D0%9E%D0%97%D0%AA%D0%A0%D0%9D%D0%95%D0%A1%D0%A2%D0%9E.pdf?MOD=AJPERES&amp;CVID=okrw7Ra</t>
  </si>
  <si>
    <t>Утвърден Стандарт “България” 06 / 2019</t>
  </si>
  <si>
    <t>Rye flour</t>
  </si>
  <si>
    <t>Rye flour standard
These standards specify the quality and composition requirements, including moisture content, ash content, acidity, and particle size. The flour must be produced from non-genetically modified rye and meet specific health and hygiene standards, such as limits on contaminants like heavy metals and mycotoxins. The standards also cover the absence of harmful substances like pests and metallic impurities.
Additionally, the document emphasizes the importance of hygiene during processing, packaging, and storage to ensure the product remains safe and suitable for consumption. Packaging must protect the flour's quality, and labelling requirements ensure accurate product identification, including details about its composition and production process. 
The document also provides methods for sampling and testing to verify compliance, ensuring that rye flour meets the necessary safety, quality, and labelling standards for market distribution and consumer protection.</t>
  </si>
  <si>
    <t>Утвърден Стандарт „БЯЛО“, „ДОБРУДЖА“, „ТИПОВО“ 01 / 2011</t>
  </si>
  <si>
    <t>"Бяло", "Добруджа", "Типово" flour standards
These standards specify the quality and safety requirements for each type, including moisture content, ash content, acidity, and gluten levels. The document also covers the permissible levels of contaminants such as heavy metals and mycotoxins, and emphasizes the importance of hygiene during processing and packaging to ensure that the flour is free from harmful microorganisms and other impurities. The standards mandate that the flour must be produced from non-genetically modified wheat and detail the packaging, labelling, and storage requirements to maintain the quality and safety of the product. Additionally, the document provides guidelines for sampling and testing to verify compliance with these standards, ensuring that the flour meets the necessary criteria for market distribution and consumer safety.</t>
  </si>
  <si>
    <t>https://bfsa.egov.bg/wps/portal/bfsa-web/home/bfsa.for.business/document.speciments.food.control/branch.standarts</t>
  </si>
  <si>
    <t>БДС 358:1980</t>
  </si>
  <si>
    <t>Chicken eggs</t>
  </si>
  <si>
    <t>https://bds-bg.org/bg/project/list?keywords=%D1%8F%D0%B9%D1%86%D0%B0&amp;status%5B1%5D=PUBLISHED&amp;operatorCommittee=1&amp;originator=BDS&amp;operatorStdType=3&amp;listMode=DEFAULT</t>
  </si>
  <si>
    <t>БДС 10946:1973 + Amendment 2014</t>
  </si>
  <si>
    <t>Quail eggs for consumption</t>
  </si>
  <si>
    <t>БДС 4336:1973</t>
  </si>
  <si>
    <t>B, D</t>
  </si>
  <si>
    <t>Hens' eggs, class A, sizes M or L</t>
  </si>
  <si>
    <t>https://bds-bg.org/bg/project/show/bds:proj:23698</t>
  </si>
  <si>
    <t>БДС 359:1983 + Amendments 1985 and 1990</t>
  </si>
  <si>
    <t>https://bds-bg.org/bg/project/show/bds:proj:23235</t>
  </si>
  <si>
    <t>БДС 12180:1974</t>
  </si>
  <si>
    <t>Poultry meat, culinary aims cut</t>
  </si>
  <si>
    <t>https://bds-bg.org/bg/project/show/bds:proj:16685</t>
  </si>
  <si>
    <t>БДС 6314:1979</t>
  </si>
  <si>
    <t>Pork for processing into canned meat</t>
  </si>
  <si>
    <t>https://bds-bg.org/bg/project/show/bds:proj:25136</t>
  </si>
  <si>
    <t>БДС 576:2018</t>
  </si>
  <si>
    <t>Beef, veal</t>
  </si>
  <si>
    <t>Beef and Buffalo Juft - requirements</t>
  </si>
  <si>
    <t>https://bds-bg.org/bg/project/show/bds:proj:103067</t>
  </si>
  <si>
    <t>БДС 7220:1981</t>
  </si>
  <si>
    <t>Minced meat - general requirements</t>
  </si>
  <si>
    <t>https://bds-bg.org/bg/project/show/bds:proj:117587</t>
  </si>
  <si>
    <t>Утвърден стандарт  “Стара планина”</t>
  </si>
  <si>
    <t>Pork, bovine</t>
  </si>
  <si>
    <t>Minced mea and other meat products.
The document outlines the standards for the production of minced meat preparations under the "Stara Planina" brand. These standards apply to various types of minced meat, including pork, beef, and mixed pork and beef products. The standards specify the required meat content, permissible additives, and processing methods, ensuring that the products meet specific quality and hygiene criteria. The document also details the packaging, labelling, and storage requirements for these meat products, including the temperature conditions for both chilled and frozen products. Additionally, it provides guidelines for sampling, testing, and ensuring compliance with health and safety regulations.</t>
  </si>
  <si>
    <t>https://bfsa.egov.bg/wps/wcm/connect/bfsa.egov.bg19113/020aaf66-0ed3-4b04-9055-4df823cd51f8/%D0%A3%D0%A1_01+2010.pdf?MOD=AJPERES&amp;CVID=ofmx8Jv</t>
  </si>
  <si>
    <t>БДС ISO 1990-1:1996</t>
  </si>
  <si>
    <t>Fruits - Nomenclature - First list</t>
  </si>
  <si>
    <t>БДС ISO 7558:2002</t>
  </si>
  <si>
    <t>A Guide to Prepacking Fruit and Vegetables</t>
  </si>
  <si>
    <t>БДС ISO 1956-1:1996</t>
  </si>
  <si>
    <t>Fruits and vegetables - morphological and structural terminology - Part 1</t>
  </si>
  <si>
    <t>https://bds-bg.org/bg/project/list?keywords=ISO&amp;status%5B0%5D=IN_DEVELOPMENT&amp;status%5B1%5D=PUBLISHED&amp;operatorCommittee=1&amp;operatorStdType=3&amp;listMode=DEFAULT</t>
  </si>
  <si>
    <t>БДС ISO 1956-2:1996</t>
  </si>
  <si>
    <t>Fruits and vegetables - morphological and structural terminology - Part 2</t>
  </si>
  <si>
    <t>БДС ISO 1991-1:1996</t>
  </si>
  <si>
    <t>Vegetables - nomenclature - first list</t>
  </si>
  <si>
    <t>БДС ISO 2821:1995</t>
  </si>
  <si>
    <t>Raw hides - beef and horse - preservation by salting and stacking</t>
  </si>
  <si>
    <t>БДС ISO 7970:2021</t>
  </si>
  <si>
    <t>A, B</t>
  </si>
  <si>
    <t>Wheat (Triticum aestivum L.) - specification (ISO 7970:2021)</t>
  </si>
  <si>
    <t>БДС EN ISO 21415-1:2007</t>
  </si>
  <si>
    <t>Wheat and wheat flour</t>
  </si>
  <si>
    <t>Wheat and wheat flour - gluten content. Part 1: Determination of wet gluten by manual method (ISO 21415-1:2006)</t>
  </si>
  <si>
    <t>Official aim: standardization of products and ensuring high quality for consumers. The content of the standards is not publicly available; applies in Bulgaria; not legally binding.</t>
  </si>
  <si>
    <t>БДС EN ISO 21415-2:2015</t>
  </si>
  <si>
    <t>Wheat and wheat flour - gluten content. Part 2: Determination of wet gluten and gluten index by mechanical means (ISO 21415-2:2015).</t>
  </si>
  <si>
    <t>БДС EN ISO 21415-3:2007</t>
  </si>
  <si>
    <t>Wheat and wheat flour - gluten content. Part 3: Determination of dry gluten by oven drying method (ISO 21415-3:2006).</t>
  </si>
  <si>
    <t>БДС EN ISO 21415-4:2007</t>
  </si>
  <si>
    <t>Wheat and wheat flour - gluten content. Part 4: Determination of dry gluten by the rapid drying method (ISO 21415-4:2006).</t>
  </si>
  <si>
    <t>БДС EN ISO 3093:2010</t>
  </si>
  <si>
    <t>Cereals and flour</t>
  </si>
  <si>
    <t>Wheat, rye, flours thereof, durum wheat and durum wheat semolina. Determination of the Hagberg-Perten fall number (ISO 3093:2009).</t>
  </si>
  <si>
    <t>БДС EN ISO 5529:2010</t>
  </si>
  <si>
    <t>Cereals and cereal products</t>
  </si>
  <si>
    <t>Wheat - determination of the sedimentation index. Zeleny test (ISO 5529:2007).</t>
  </si>
  <si>
    <t>БДС EN 15585:2008</t>
  </si>
  <si>
    <t>Cereal and cereal-products - durum wheat (T.durum Desf.). Determining the percentage of wheat mites and calculating the percentage of vitreousness of the grains.</t>
  </si>
  <si>
    <t>БДС CEN/TS 15731:2008</t>
  </si>
  <si>
    <t>Cereal crops and cereal-products. Common wheat (Triticum aestivum L.). Determination of the alveographic properties of dough under adapted hydration from commercial or laboratory flours and a milling test method.</t>
  </si>
  <si>
    <t>БДС CEN/TS 15465:2008</t>
  </si>
  <si>
    <t>Cereal and cereal-cereal products - durum wheat (T.durum Desf.). Basic guidelines for instrumental methods for measuring colour in semolina.</t>
  </si>
  <si>
    <t>БДС 11536:1973</t>
  </si>
  <si>
    <t>Consumer packaging - plastic baskets for fresh and soft fruit.</t>
  </si>
  <si>
    <t>БДС 16270:1985</t>
  </si>
  <si>
    <t>Plastic transport case for fruits and vegetables - type I.</t>
  </si>
  <si>
    <t>Yes - research and innovation in sustainable packaging and transport.</t>
  </si>
  <si>
    <t>БДС 16272:1985</t>
  </si>
  <si>
    <t>Plastic transport box for fruits and vegetables - type III.</t>
  </si>
  <si>
    <t>БДС 16271:1985</t>
  </si>
  <si>
    <t>Transport box made of plastic for fruits and vegetables - type II.</t>
  </si>
  <si>
    <t>БДС 16721:1987</t>
  </si>
  <si>
    <t>Transport box made of plastic for fruits and vegetables - type IIA.</t>
  </si>
  <si>
    <t>БДС 16563:1986</t>
  </si>
  <si>
    <t>Plastic transport case for fish.</t>
  </si>
  <si>
    <t>https://bds-bg.org/bg/project/show/bds:proj:20857</t>
  </si>
  <si>
    <t>Regulation No. 1 of 09.01.2008 on the requirements for trade in eggs</t>
  </si>
  <si>
    <t>A, B, C, D, E, M</t>
  </si>
  <si>
    <t>Requirements for the trade of eggs.</t>
  </si>
  <si>
    <t>https://bfsa.egov.bg/wps/wcm/connect/bfsa.egov.bg19113/ee01b1f8-6531-463e-9369-12f56594d7fe/NAREDBA___1_ot_9012008_g_za_iziskvaniqta_za_targoviq_s_qjca__%28Zagl_izm_-_DV_br_94_ot_2013_g%29.pdf?MOD=AJPERES&amp;CVID=obJLx1d</t>
  </si>
  <si>
    <t>Requirements to the trade of eggs; applied in Bulgaria; not legally binding.</t>
  </si>
  <si>
    <t xml:space="preserve">Regulation No. 2 of 23.01.2008 on plastic materials and articles intended for contact with food </t>
  </si>
  <si>
    <t>Fruits and vegetables, Meat, Fish, Eggs, Cereals</t>
  </si>
  <si>
    <t xml:space="preserve">Requirements to plastic materials and articles intended for contact with food. </t>
  </si>
  <si>
    <t>https://bfsa.egov.bg/wps/wcm/connect/bfsa.egov.bg19113/c7409b6e-2def-46d6-bf7c-536014b02188/NAREDBA___2_ot_23012008_g_za_materialite_i_predmetite_ot_plastmasi_prednaznacheni_za_kontakt_s_h.pdf?MOD=AJPERES&amp;CVID=obJLMrn</t>
  </si>
  <si>
    <t>Requirements to plastic materials and articles intended for contact with food; applied in Bulgaria; legally binding.</t>
  </si>
  <si>
    <t xml:space="preserve">Regulation No. 3 of 04.06.2007 on the specific requirements for materials and articles other than plastic intended for contact with food </t>
  </si>
  <si>
    <t>Requirements to materials and articles other than plastic intended for contact with food.</t>
  </si>
  <si>
    <t>https://bfsa.egov.bg/wps/wcm/connect/bfsa.egov.bg19113/d9c2b3a8-6fa6-469a-a9ae-6c980bfba60e/NAREDBA___3_ot_4062007_g_za_specifichnite_iziskvaniq_kam_materialite_i_predmetite_razlichni_ot_p.pdf?MOD=AJPERES&amp;CVID=obJNx3V</t>
  </si>
  <si>
    <t>Requirements to materials and articles other than plastic intended for contact with food; applied in Bulgaria; legally binding.</t>
  </si>
  <si>
    <t>Regulation No. 6 of 05.05.2011 on the specific requirements for executing the official control over the use of protected geographical indications and food of a traditionally specific character</t>
  </si>
  <si>
    <t>Requirements to the official control over the use of protected geographical indications and food of a traditionally specific character.</t>
  </si>
  <si>
    <t>https://bfsa.egov.bg/wps/wcm/connect/bfsa.egov.bg19113/947d5cd7-c522-4cd1-9871-d8d399f5f450/NAREDBA___6_ot_5052011_g_za_specifichnite_iziskvaniq_pri_osashtestvqvane_na_oficialniq_kontrol_va.pdf?MOD=AJPERES&amp;CVID=obJOhw9</t>
  </si>
  <si>
    <t>Requirements to the official control over the use of protected geographical indications and food of a traditionally specific character; applied in Bulgaria; legally binding.</t>
  </si>
  <si>
    <t>Regulation No. 10 of 26.04.2021 on the specific requirements for the production of food of animal origin in slaughterhouses</t>
  </si>
  <si>
    <t>D, M</t>
  </si>
  <si>
    <t>Requirements within the production of food of animal origin in slaughterhouses. The document outlines the specific standards and requirements for the production of foods of animal origin, including meat, in slaughter facilities. It details regulations regarding the construction and operation of slaughterhouses, including the necessary hygiene practices, the marking and identification of meat products, and the procedures for labelling and transportation. The standards also include guidelines for the classification and processing of meat, ensuring that all meat products meet health and safety standards before they are marketed. Additionally, the document sets out the requirements for official inspections and controls to ensure compliance with these standards, aiming to protect consumer health and maintain food safety.</t>
  </si>
  <si>
    <t>https://bfsa.egov.bg/wps/wcm/connect/bfsa.egov.bg19113/102b3b84-0318-4a64-b349-5f3794679dbc/NAREDBA___10_ot_26042021_g_za_specifichnite_iziskvaniq_kam_proizvodstvoto_na_hrani_ot_jivotinski_.pdf?MOD=AJPERES&amp;CVID=obJZfW9</t>
  </si>
  <si>
    <t>Yes - research and development in the production of sustainable food of animal origin in slaughterhouses.</t>
  </si>
  <si>
    <t>Requirements to the production of food of animal origin in slaughterhouses; applied in Bulgaria; legally binding.</t>
  </si>
  <si>
    <t>Regulation on requirements for quick frozen foods Adopted PMS No. 111 of 26.03.2021</t>
  </si>
  <si>
    <t>Requirements for quick frozen foods.</t>
  </si>
  <si>
    <t>https://bfsa.egov.bg/wps/wcm/connect/bfsa.egov.bg19113/3690d970-60fc-4001-9b6a-88754c5e8884/naredba_za_iziskvanijata_kam_barzo_zamrazenite_hrani.pdf?MOD=AJPERES&amp;CVID=obfZjhQ</t>
  </si>
  <si>
    <t>Requirements to quick frozen foods; applied in Bulgaria; legally binding.</t>
  </si>
  <si>
    <t>Regulation No. 7 of 18.02.2021 on the conditions and procedure for issuing a sticker to certify the registration of food transportation vehicles</t>
  </si>
  <si>
    <t>Requirements for the certification of the  food transportation vehicles.</t>
  </si>
  <si>
    <t>https://bfsa.egov.bg/wps/wcm/connect/bfsa.egov.bg19113/83370f23-c81e-4bee-ac49-dd155ae8a45b/naredba_7_stikeri.docx?MOD=AJPERES&amp;CVID=oahY6xM</t>
  </si>
  <si>
    <t>Yes - research and innovation in sustainable transport.</t>
  </si>
  <si>
    <t>Requirements to the certification of the  food transportation vehicles; applied in Bulgaria; legally binding.</t>
  </si>
  <si>
    <t>Regulation on the provision of information to consumers on foods, Adopted PMS No. 97 of 19.03.2021</t>
  </si>
  <si>
    <t xml:space="preserve">Requirements for the information provided to consumers. </t>
  </si>
  <si>
    <t>https://bfsa.egov.bg/wps/wcm/connect/bfsa.egov.bg19113/9b327f87-1f57-4606-a225-cba424cfba2d/NAREDBA_za_predostavqneto_na_informaciq_na_potrebitelite_za_hranite.pdf?MOD=AJPERES&amp;CVID=obfYt71</t>
  </si>
  <si>
    <t>Requirements to the information provided to consumers; applied in Bulgaria; legally binding.</t>
  </si>
  <si>
    <t>Regulation No. 16 of 28.05.2010 on the requirements for quality and control of compliance of fresh fruits and vegetables</t>
  </si>
  <si>
    <t>Requirements for quality and control of compliance for fresh fruits and vegetables.</t>
  </si>
  <si>
    <t>Requirements to quality and control of compliance of fresh fruits and vegetables; applied in Bulgaria; legally binding.</t>
  </si>
  <si>
    <t xml:space="preserve">Regulation No. 5 of 03.09.2018 for implementing the rules of organic production, labelling and control, and for issuing a permit for control activity for compliance with the rules of organic production, as well as for subsequent official supervision  </t>
  </si>
  <si>
    <t>Requirements for organic production, labelling, and control.</t>
  </si>
  <si>
    <t>https://bfsa.egov.bg/wps/wcm/connect/bfsa.egov.bg19113/9b327f87-1f57-4606-a225-cba424cfba2d/NAREDBA_za_predostavqneto_na_informaciq_na_potrebitelite_za_hranite.pdf?MOD=AJPERES&amp;CVID=obfYt73</t>
  </si>
  <si>
    <t>Requirements to organic production, labelling and control; applied in Bulgaria; legally binding.</t>
  </si>
  <si>
    <t xml:space="preserve">Government Decision 106/2002 concerning general food labelling </t>
  </si>
  <si>
    <t>Romania</t>
  </si>
  <si>
    <t>Primary Production, Processing &amp; Manufacturing, Retail and Other Distribution, Retail and Other Distribution</t>
  </si>
  <si>
    <t>Information on the labels must be provided for the characteristics of the product, especially regarding its nature, identity, features, composition, amount, durability or its origin, as well as the manufacturing or production methods.</t>
  </si>
  <si>
    <t>https://apps.fas.usda.gov/newgainapi/api/Report/DownloadReportByFileName?fileName=Food%20and%20Agricultural%20Import%20Regulations%20and%20Standards%20Country%20Report_Bucharest_Romania_RO2022-0013</t>
  </si>
  <si>
    <t xml:space="preserve">Requirements for labelling of food products; applied in Romania; legally binding. </t>
  </si>
  <si>
    <t>Government Ordinance 34/2000 concerning organic food, amended in 2017 through Law 262/2017 along with Order 1253/2013</t>
  </si>
  <si>
    <t>A, D, G</t>
  </si>
  <si>
    <t xml:space="preserve">Requirements for organic production, labelling, control, specific definitions. </t>
  </si>
  <si>
    <t>Requirements to organic production, labelling and control; applied in Romania; legally binding.</t>
  </si>
  <si>
    <t>Law 150/2016 concerning country of origin labelling</t>
  </si>
  <si>
    <t>Bovine, Pork, Poultry, Livestock</t>
  </si>
  <si>
    <t>Law 150/2016 concerning food products trade, the meat label should contain the following information: origin country of the animal, country where the animal was born in, raised, slaughtered, the
health stamp/identification and name of the commercial operator, country of the cutting plant. In the case of meat products, the label must indicate the percentage of meat originating from Romania.</t>
  </si>
  <si>
    <t xml:space="preserve">Requirements for labelling of meat products; applied in Romania; legally binding. </t>
  </si>
  <si>
    <t>Order 183/2016 concerning information to consumers about frozen foods.</t>
  </si>
  <si>
    <t>Bread, baked goods, pastry, meat products of animal origin, fruits and vegetables</t>
  </si>
  <si>
    <t>Fruits and vegetables, Meat, Cereals</t>
  </si>
  <si>
    <t>Processing &amp; Manufacturing, Food Services</t>
  </si>
  <si>
    <t>Order 183/2016 refers to the information that has to be provided to consumers about foods derived from frozen foods. Applies to the food services sector that use frozen goods in order to prepare the meals. Suppliers as well as the foodservice companies have to mandatorily display for consumers the wording “defrosted product or from defrosted product” in a visible way either on the package label or in the restaurant menu.</t>
  </si>
  <si>
    <t xml:space="preserve">Requirements for labelling of food derived from frozen foods; applied in Romania; legally binding. </t>
  </si>
  <si>
    <t>VLAREMA 9 (22 December 2023 )</t>
  </si>
  <si>
    <t>VLAREMA prohibited the use of non-compostable stickers on vegetables and fruits, meaning that all fruit stickers must now be compostable. Companies are given the option to use either industrially compostable or home compostable stickers.</t>
  </si>
  <si>
    <t>https://vlaco.be/nieuws/vlarema-9-en-het-gebruik-van-fruitstickers</t>
  </si>
  <si>
    <t xml:space="preserve">Yes - research and innovation in sustainable labelling (compostable stickers). </t>
  </si>
  <si>
    <t>A requirement to recyclability of stickers; applied in Belgium; not legally binding.</t>
  </si>
  <si>
    <t>Landbouwkwaliteitsregeling 2007</t>
  </si>
  <si>
    <t>Potatoes, fruit and vegetables</t>
  </si>
  <si>
    <t>The Landbouwkwaliteitsregeling (Agricultural Quality Regulation) of 2007 is a regulation in the Netherlands that governs the quality standards for agricultural products, including fruits and vegetables. Its main aim is to ensure that agricultural products meet certain quality criteria, such as size, shape, color, and freshness, before they are marketed and sold to consumers.</t>
  </si>
  <si>
    <t>https://wetten.overheid.nl/BWBR0022543/2023-10-14#Hoofdstuk2
https://eko-keurmerk.nl/wat-is-eko</t>
  </si>
  <si>
    <t>Official Agricultural Quality Regulation; applied in Belgium; legally binding.</t>
  </si>
  <si>
    <t>Beef Labelling Act</t>
  </si>
  <si>
    <t xml:space="preserve">Beef, ground beef, meat cuts </t>
  </si>
  <si>
    <t>The standard is not only for primary production, but for every market participant; labelling (reference number/ code, country of birth/ fattening or reared/ slaughtered, approval number of the slaughter house, country of disassembly, approval number of the cutting plant). This is the basic standard for beef. There are specific standards for ground meat, meat cuts and veal and young beef.
Mandatory information on the labelling of ground meat containing at least 50% of beef: The standard introduced after the animal disease BSE, is not only for primary production, but also for retail, processing and manufacturing - reference code, country of origin, country of slaughter, country of production. The same is applicable for the labelling of meat cuts.</t>
  </si>
  <si>
    <t>https://www.ble.de/DE/Themen/Ernaehrung-Lebensmittel/Rindfleischetikettierung/rindfleischetikettierung_node.html;jsessionid=68F0D8695D61C5814CEC74FCF70781BA.internet971
https://www.gesetze-im-internet.de/rifletikettg/index.html</t>
  </si>
  <si>
    <t>The standards mandates labeling for all participants in the beef market, including reference number, country of birth, rearing, slaughter, and cutting plant details. It sets a foundational standard for beef with additional specific rules for ground meat, meat cuts, and veal; applied in Germany; legally binding.</t>
  </si>
  <si>
    <t>Beef Labelling Regulation on beef and on the trade description and labelling of meat of bovine animals less than 12 months old</t>
  </si>
  <si>
    <t>Veal and young beef</t>
  </si>
  <si>
    <t xml:space="preserve">The standard is not only for primary production, but also for processing. </t>
  </si>
  <si>
    <t>https://www.ble.de/DE/Themen/Ernaehrung-Lebensmittel/Rindfleischetikettierung/rindfleischetikettierung_node.html;jsessionid=68F0D8695D61C5814CEC74FCF70781BA.internet971
https://www.gesetze-im-internet.de/rifletikettv_2009/index.html</t>
  </si>
  <si>
    <t>Labelling standards for veal and young beef are required at every stage, from primary production to processing, to ensure transparency and traceability; applied in Germany; legally binding.</t>
  </si>
  <si>
    <t xml:space="preserve">Animal Husbandry Labelling Act </t>
  </si>
  <si>
    <t xml:space="preserve">Beef, Pork, Poultry </t>
  </si>
  <si>
    <t>The standard is not only for primary production, but also for retail - labelling (according to husbandry). For pre-packaged meat the labelling needs to be placed in the main field of view.</t>
  </si>
  <si>
    <t>https://www.ble.de/DE/Themen/Ernaehrung-Lebensmittel/Tierhaltungskennzeichnung/Tierhaltungskennzeichnung_node.html;jsessionid=79F0C4BDB5F035341A962C6C67CDAC90.internet972
https://www.gesetze-im-internet.de/tierhaltkennzg/</t>
  </si>
  <si>
    <t>The standards mandate labelling of meat products based on farming methods, ensuring visibility on packaging for pre-packaged products in the main field of view, applicable across the supply chain; applied in Germany; legally binding.</t>
  </si>
  <si>
    <t>Marketing standards for poultry meat, federal Law Gazette II No. 70/2011 and Regulation (EC) No. 543/2008 - Marketing standards for poultry meat</t>
  </si>
  <si>
    <t xml:space="preserve">The standard is not only for primary production, but also for retail -  forms of fixtures for sale, impeccable storage and distribution practices for frozen poultry, classification in commercial classes A and B, and labelling. </t>
  </si>
  <si>
    <t>https://info.bml.gv.at/themen/landwirtschaft/betriebswirtschaftliches-vermarktung/vermarktungsnormen/Gefluegelfleisch.html</t>
  </si>
  <si>
    <t>Rules for storage and distribution practices for frozen poultry, classification in commercial classes A and B, labelling; applied in Austria; legally binding.</t>
  </si>
  <si>
    <t>Rules on special requirements for labelling and presentation of prepacked foodstuffs</t>
  </si>
  <si>
    <t>Slovenia</t>
  </si>
  <si>
    <t>Rules for nutrition labelling, expired date and conditions for indication of the batch and/or lot.</t>
  </si>
  <si>
    <t>Rules for nutrition labelling, expired date and conditions for indication of the batch and/or lot; applied in Slovenia; legally binding.</t>
  </si>
  <si>
    <t>Rules on the general labelling of non-prepacked foods</t>
  </si>
  <si>
    <t>Mandatory information for non-prepacked food.</t>
  </si>
  <si>
    <t>Regulations on the classification and labeling of beef and pig carcasses</t>
  </si>
  <si>
    <t>Beef , Pork</t>
  </si>
  <si>
    <t>Define the categories, classification by fleshiness and fat content and marking of carcasses of cattle aged eight months or more, as well as evaluation of the fleshiness of pig carcasses on the slaughter line, more detailed conditions for control organizations, tasks of controllers, control or verification of marking, sorting and processing of carcasses and criteria, which must be fulfilled by controllers for evaluating and issuing proof that the exported products originate from adult male cattle.</t>
  </si>
  <si>
    <t>https://pisrs.si/pregledPredpisa?id=PRAV13210</t>
  </si>
  <si>
    <t>This regulation in Slovenia defines the classification and marking of beef and pork carcasses by categories such as fleshiness and fat content, including guidelines for control organizations and verification of export certification; applied in Slovenia; legally binding.</t>
  </si>
  <si>
    <t>Regulations on the registration of a special breeding method</t>
  </si>
  <si>
    <t>Determines the registration of a special breeding method for the implementation of Council Regulation (EEC) no. 1906/90 of 26 June 1990 on certain marketing standards for poultry (OJ L No. 173 of 6 July 1990, p. 1, with all amendments; hereinafter: Regulation (EEC) 1906/90) and Commission Regulation (EEC) no. 1538/91 of June 5, 1991 on the introduction of detailed rules for the implementation of Regulation (EEC) no. 1906/90 on certain marketing standards for poultry (OJ L No. 143 of 7 June 1991, p. 11, with all amendments; hereinafter: Regulation (EEC) 1538/91).</t>
  </si>
  <si>
    <t>https://pisrs.si/pregledPredpisa?id=PRAV6954</t>
  </si>
  <si>
    <t>Establishes requirements for the registration of special breeding methods for poultry in line with EU regulations, ensuring standards are followed for marketing poultry; applied in Slovenia; legally binding.</t>
  </si>
  <si>
    <t>Regulations on the quality of meat of slaughtered livestock and game</t>
  </si>
  <si>
    <t>Livestock, game</t>
  </si>
  <si>
    <t>Bovine, Pork, Poultry, Livestock and Game</t>
  </si>
  <si>
    <t>This regulation specifies the cutting of carcasses of slaughtered livestock into basic pieces, the classification of slaughtered livestock meat into quality categories and the marking of quality categories, and the marking of game meat.</t>
  </si>
  <si>
    <t>https://pisrs.si/pregledPredpisa?id=PRAV12215</t>
  </si>
  <si>
    <t>Regulates the cutting and quality classification of livestock and game carcasses, including the marking of quality categories for the meat placed on the Slovenian market; applied in Slovenia; legally binding.</t>
  </si>
  <si>
    <t>Regulations on the quality of meat products and meat preparations</t>
  </si>
  <si>
    <t>This regulation prescribes the method of processing and production, properties and ingredients and their contents, labelling and definitions and names, which must be met by meat products and meat preparations that are placed on the market.</t>
  </si>
  <si>
    <t>https://pisrs.si/pregledPredpisa?id=PRAV11666</t>
  </si>
  <si>
    <t>Specifies the production methods, properties, labeling, and quality standards that meat products and preparations must meet before being marketed in Slovenia; applied in Slovenia; legally binding.</t>
  </si>
  <si>
    <t>Regulation on egg quality</t>
  </si>
  <si>
    <t>Egg</t>
  </si>
  <si>
    <t xml:space="preserve">This regulations provides for exemptions in the labelling of eggs, registration of packing centres and issuance of permits for egg sorting to carry out EU regulation regarding eggs. </t>
  </si>
  <si>
    <t>https://pisrs.si/pregledPredpisa?id=PRAV8640</t>
  </si>
  <si>
    <t>This regulation sets guidelines for egg labeling exemptions, packing centre registration, and issuance of permits for egg sorting to align with EU regulations on egg quality; applied in Slovenia; legally binding.</t>
  </si>
  <si>
    <t>Regulation on the quality of fine bakery products</t>
  </si>
  <si>
    <t>Bakery products</t>
  </si>
  <si>
    <t>This regulation regulates the conditions for minimum quality, labelling and classification that must be met by fine bakery products in circulation.</t>
  </si>
  <si>
    <t>https://pisrs.si/pregledPredpisa?id=PRAV5620</t>
  </si>
  <si>
    <t>Specifies the minimum quality, labeling, and classification standards that must be met by fine bakery products sold in the Slovenian market; applied in Slovenia; legally binding.</t>
  </si>
  <si>
    <t>Regulations on the quality of bakery products</t>
  </si>
  <si>
    <t>This regulation regulates the conditions for minimum quality, labelling and classification that must be met by bread, bakery products and other bakery products in the market.</t>
  </si>
  <si>
    <t>https://pisrs.si/pregledPredpisa?id=PRAV11665</t>
  </si>
  <si>
    <t>Defines the minimum quality, labeling, and classification standards that bread and other bakery products must meet in the Slovenian market; applied in Slovenia; legally binding.</t>
  </si>
  <si>
    <t>Regulations on the quality of cereal products</t>
  </si>
  <si>
    <t>Cereal products</t>
  </si>
  <si>
    <t>This regulation regulates the conditions for minimum quality, classification and labelling that products from cereals and cereal-related crops must meet in the market.</t>
  </si>
  <si>
    <t>https://pisrs.si/pregledPredpisa?id=PRAV11465</t>
  </si>
  <si>
    <t>Regulates the quality, classification, and labeling of cereal products in Slovenia, ensuring that all products meet specific market standards; applied in Slovenia; legally binding.</t>
  </si>
  <si>
    <t>Regulations on fruit juices and certain similar products intended for human consumption</t>
  </si>
  <si>
    <t>Fruit juices</t>
  </si>
  <si>
    <t>This regulation determines the minimum quality and labelling of fruit juices and certain similar products (hereinafter: products) intended for human consumption, in accordance with Council Directive 2001/112/EC of 20 December 2001 on fruit juices and certain similar products intended for human consumption for human consumption (OJ L No. 10 of 12/01/2002, p. 58), last amended by Directive 2012/12 EU of the European Parliament and of the Council of 19 April 2012 amending Council Directive 2001/112/EC on fruit juices and some similar products intended for human consumption (OJ L No. 115 of 27 April 2012, p. 1).</t>
  </si>
  <si>
    <t>https://pisrs.si/pregledPredpisa?id=PRAV11392</t>
  </si>
  <si>
    <t>Defines the minimum quality standards and labeling requirements for fruit juices and similar products intended for consumption, in line with EU directives; applied in Slovenia; legally binding.</t>
  </si>
  <si>
    <t>Regulations on the quality of fruit jams, jellies, jams and sweetened chestnut pulp</t>
  </si>
  <si>
    <t>Jams</t>
  </si>
  <si>
    <t>This regulation sets the conditions for the minimum quality and labelling of fruit jams, jellies, jams and sweetened chestnut pulp intended for human consumption.</t>
  </si>
  <si>
    <t>https://pisrs.si/pregledPredpisa?id=PRAV4479</t>
  </si>
  <si>
    <t>Sets conditions for the minimum quality and labeling of fruit jams, jellies, and sweetened chestnut pulp to ensure products meet consumer standards in Slovenia; applied in Slovenia; legally binding.</t>
  </si>
  <si>
    <t>Regulation on markings or signs that determine the batch or lot to which the food belongs</t>
  </si>
  <si>
    <t>Croatia</t>
  </si>
  <si>
    <t>This Regulation prescribes the general requirements and the way of indicating the markings that enable the identification of the batch or lot to which the food belongs.</t>
  </si>
  <si>
    <t>https://narodne-novine.nn.hr/clanci/sluzbeni/2013_03_26_442.html</t>
  </si>
  <si>
    <t>Croatian regulation requires batch or lot identification on food commodities to enable easy traceability and quality control; applied in Croatia; legally binding.</t>
  </si>
  <si>
    <t>Regulation on informing consumers about non-pre-packaged food</t>
  </si>
  <si>
    <t>Prescribes general principles, requirements and responsibilities regarding information on non-pre-packaged food, including information on the presence of substances or products that may cause allergies or intolerances.</t>
  </si>
  <si>
    <t>https://narodne-novine.nn.hr/clanci/sluzbeni/2014_12_144_2700.html</t>
  </si>
  <si>
    <t>Establishes guidelines for labeling non-pre-packaged food in Croatia, including the disclosure of allergens or substances that may cause intolerance; applied in Croatia; legally binding.</t>
  </si>
  <si>
    <t>Instruction on the method of applying the exemption from stating the nutritional declaration on food</t>
  </si>
  <si>
    <t>Ensures the implementation of Regulation (EU) no. 1169/2011 of the European Parliament and the Council of October 25, 2011 on informing consumers about food.</t>
  </si>
  <si>
    <t>Ensures proper implementation of the EU regulation regarding exemptions from mandatory nutritional labeling on food products in Croatia; applied in Croatia; legally binding.</t>
  </si>
  <si>
    <t>Regulation on fruit jams, jellies, marmalades, jam and sweetened chestnut puree</t>
  </si>
  <si>
    <t>Prescribes the quality requirements that jam, extra jam, jelly, extra jelly, marmalade, jelly-marmalade, marmalade and sweetened chestnut puree (hereinafter: products) must meet during production and marketing, and they refer to: names, definitions and general requirements; composition and sensory properties; type and quantity of raw materials and other substances used in production and processing; additional labeling requirements.</t>
  </si>
  <si>
    <t>https://narodne-novine.nn.hr/clanci/sluzbeni/2019_09_84_1726.html</t>
  </si>
  <si>
    <t>Sets quality requirements for fruit jams, marmalades, and sweetened chestnut products in Croatia, covering definitions, composition, and additional labeling standards; applied in Croatia; legally binding.</t>
  </si>
  <si>
    <t>Regulation on fruit juices and similar products intended for consumption</t>
  </si>
  <si>
    <t>This Ordinance transfers to the legal order of the Republic of Croatia: Council Directive 2001/112/EC of 20 December 2001 on fruit juices and certain similar products intended for consumption (OJ L 10, 12 January 2002) and all subsequent amendments; Commission Directive 2009/106/EC of 14 August 2009 amending Council Directive 2001/112/EC on fruit juices and certain similar products intended for consumption (OJ L 212, 15 August 2009); Directive 2012/12/EU of the European Parliament and of the Council of April 19, 2012 amending Council Directive 2001/112/EC on fruit juices and certain similar products intended for consumption (OJ L 115, 27/04/2012 ).</t>
  </si>
  <si>
    <t>https://narodne-novine.nn.hr/clanci/sluzbeni/2013_04_48_941.html</t>
  </si>
  <si>
    <t>Aligns Croatian regulations on fruit juices and similar products with EU directives, ensuring that quality and labeling standards are met during production and marketing; applied in Croatia; legally binding.</t>
  </si>
  <si>
    <t>Regulation on meat products</t>
  </si>
  <si>
    <t>Prescribes the quality standards that meat products that are the subject of this Ordinance must comply with in production and when placed on the market, and they refer to: names, definitions and general requirements, composition, physico-chemical and sensory properties, type and quantity of raw materials and other ingredients used in production and processing, additional labelling requirements.</t>
  </si>
  <si>
    <t>https://narodne-novine.nn.hr/clanci/sluzbeni/2018_07_62_1292.html</t>
  </si>
  <si>
    <t>Croatian regulation prescribes quality standards and labeling requirements for meat products, covering production methods, ingredient content, and physico-chemical properties; applied in Croatia; legally binding.</t>
  </si>
  <si>
    <t>Regulation on cereals and cereal products</t>
  </si>
  <si>
    <t>Prescribes general quality requirements for cereals intended for the final consumer for immediate consumption as well as cereal products that are placed on the market, and refer to: names, definitions and general requirements they must comply with, type and quantity of ingredients and other substances used in production and processing, additional labelling requirements.</t>
  </si>
  <si>
    <t>https://narodne-novine.nn.hr/clanci/sluzbeni/2022_09_101_1495.html</t>
  </si>
  <si>
    <t>Prescribes quality requirements and additional labeling standards for cereals and cereal-based products in Croatia, ensuring compliance with consumer safety and market regulations; applied in Croatia; legally binding.</t>
  </si>
  <si>
    <t xml:space="preserve">Slaughter age classification </t>
  </si>
  <si>
    <t>Bovine &lt; 12 months classified:
- "category V" &lt; 8 months,
- "category Z" &gt; 8 months.</t>
  </si>
  <si>
    <t>https://www.politicheagricole.it/flex/files/7/f/2/D.caa50633c9d706efed63/Vitello___vitellone.pdf</t>
  </si>
  <si>
    <t>Bovine classificationrules; applied in Italy; legally binding.</t>
  </si>
  <si>
    <t>Meat labelling and traceability</t>
  </si>
  <si>
    <t>Indicating the country or place of rearing and slaughter.</t>
  </si>
  <si>
    <t>https://www.politicheagricole.it/flex/cm/pages/ServeBLOB.php/L/IT/IDPagina/3847</t>
  </si>
  <si>
    <t>The requirement to disclose produce origin; applied in Italy; legally binding.</t>
  </si>
  <si>
    <t>Pork, Sheep, Goat, Poultry</t>
  </si>
  <si>
    <t>https://www.politicheagricole.it/flex/cm/pages/ServeBLOB.php/L/IT/IDPagina/7048#:~:text=1337%2F2013%20che%20fissa%20le,ovina%2C%20caprina%20e%20di%20volatili</t>
  </si>
  <si>
    <t>Legislative Decree 145/2017 (The Ministry of Agricultural, Food and Forestry Policies) - to label the location and address of the food production or packaging establishment</t>
  </si>
  <si>
    <t>This indication is in addition to those required by the European Regulation (name, ingredients, presence of allergens, quantity, expiry date, name of the person in charge of the information, country of origin, instructions for use, alcoholic strength and nutrition declaration). Operators will therefore have to indicate the location and address of the establishment (or only the location if it allows immediate identification of the establishment) of production or packaging, if the food is packaged in an establishment other than the one where it was produced. The obligation concerns food produced in Italy and intended for the Italian market. This ensures correct and complete information to consumers, better and immediate traceability of food by the control bodies and, consequently, more effective health protection.</t>
  </si>
  <si>
    <t>https://www.politicheagricole.it/flex/cm/pages/ServeBLOB.php/L/IT/IDPagina/12462</t>
  </si>
  <si>
    <t>A requirement to label food production or packaging establishment; applied in the EU; legally binding.</t>
  </si>
  <si>
    <t>Country of Origin Labelling (COOL)</t>
  </si>
  <si>
    <t>Rice and pasta</t>
  </si>
  <si>
    <t>COOL regulation: Labelling must indicate the country of origin or place of provenance on the label.</t>
  </si>
  <si>
    <t>https://www.politicheagricole.it/flex/cm/pages/ServeBLOB.php/L/IT/IDPagina/12217</t>
  </si>
  <si>
    <t>Labelling requirement; applied in Italy; legally binding.</t>
  </si>
  <si>
    <t>https://www.politicheagricole.it/flex/cm/pages/ServeBLOB.php/L/IT/IDPagina/12259</t>
  </si>
  <si>
    <t>Origin Labelling</t>
  </si>
  <si>
    <t>The indication “Reared in: name of the Member State or third country” in accordance with the following criteria: 
- In case the animal is slaughtered older than 6 months, the Member State or third country in which the last rearing period of at least 4 months took place.
- In case the animal is slaughtered younger than 6 months and with a live weight of at least 80 kg, the Member State or third country in which the rearing period after the animal has reached 30 kg took place. 
- In case the animal is slaughtered younger than 6 months and with a live weight less than 80 kg, the Member State or third country in which the whole rearing took place.</t>
  </si>
  <si>
    <t>https://it.usembassy.gov/wp-content/uploads/sites/67/Food-and-Agricultural-Import-Regulations-and-Standards-Country-Report_Rome_Italy_12-31-2021-5.pdf</t>
  </si>
  <si>
    <t>The requirement to disclose produce origin; applies in Italy; legally binding.</t>
  </si>
  <si>
    <t>Labelling: “Reared in: name of the Member State or third country”, The Member State or third country in which the last rearing period of at least 6 months took place, or in cases the animal is slaughtered younger than 6 months, the Member State or third country in which the whole rearing period took place.</t>
  </si>
  <si>
    <t xml:space="preserve">General outline of marine capture fisheries legislation and regulations in the Adriatic Sea countries - Size categorization </t>
  </si>
  <si>
    <t>B, C</t>
  </si>
  <si>
    <t>Processing &amp; Manufacturing, Retail and Other Distribution (including wholesale)</t>
  </si>
  <si>
    <t>Covers licenses, sizing, conservation and management measures. The buyer of fisheries products at first sale shall submit invoices or sales notes to the authorities, unless the sale takes place at a registered auction which is itself obliged to submit invoices or sales notes to the authorities. Where a minimum size has been fixed for a given species, operators responsible for selling, stocking or transporting must be able to prove the geographical origin of the products.</t>
  </si>
  <si>
    <t>https://www.faoadriamed.org/html/Legislation/
LegITAComp.html#top</t>
  </si>
  <si>
    <t>The requirement to disclose produce origin and size; applied in Italy; legally binding.</t>
  </si>
  <si>
    <t>Decreto 17 luglio 2013 
in attuazione della legge 8 novembre 2012, n. 189</t>
  </si>
  <si>
    <t>L</t>
  </si>
  <si>
    <t>Freeze for at least 96 hours at -18°C, the fishery products that are intended to consume raw or partially raw.</t>
  </si>
  <si>
    <t>https://www.salute.gov.it/portale/news/p3_2_1_1_1.jsp?menu=notizie&amp;id=1319</t>
  </si>
  <si>
    <t>Yes - research and innovation in logistics and storage of fish.</t>
  </si>
  <si>
    <t>Storage requirements; applied in Italy; legally binding.</t>
  </si>
  <si>
    <t>Law No. 580 of 29 December 1967, as amended.</t>
  </si>
  <si>
    <t xml:space="preserve">The Act regulates the processing and marketing of cereals, farinaceous foods, bread, pasta, and yeast. It prohibits the grinding of damaged cereals for food but allows their industrial use under health authority checks. Specific standards are set for the production, packaging, and labelling of wheat flour, durum wheat flour, bread, and pasta, with strict controls on compliance. The Act outlines the characteristics of yeast, conditions for processing premises, and methods for product sampling and inspection. </t>
  </si>
  <si>
    <t>https://www.fao.org/faolex/results/details/en/c/LEX-FAOC031853/</t>
  </si>
  <si>
    <t>The Act establishes regulations for the processing, marketing, packaging, and inspection of cereals, farinaceous foods, bread, pasta, and yeast, while enforcing quality standards and penalizing non-compliance; applied in Italy; legally binding.</t>
  </si>
  <si>
    <t>Made in Poland</t>
  </si>
  <si>
    <t>Manufacturers are able to place logo "Produkt Polski" on products produced in Poland with the use of Polish raw materials and containing no more than 25 percent of components derived from imported ingredients (this percent does not include water content). Meat marketed with the "Produkt Polski" label should be derived from animals born in Poland and whose breeding and slaughter took place on the Polish territory.</t>
  </si>
  <si>
    <t>https://www.gov.pl/web/rolnictwo/produkt-polski1</t>
  </si>
  <si>
    <t>Certifies the origin of product or product parts (Poland); applied in Poland; not legally binding.</t>
  </si>
  <si>
    <t>Quality Tradition developed by the Polish Chamber of Regional and Local Products and the Association of the Voivodeships of the Republic of Poland.</t>
  </si>
  <si>
    <t>The specificity of the final product produced within the system results from the clear requirement to guarantee any of the following elements:
• specified product properties,
• specified cultivation or production methods, or
• the quality of the final product, which significantly exceeds the commercial standards for the given product in terms of public health, animal or plant health, animal welfare, or environmental protection.</t>
  </si>
  <si>
    <t>https://www.produktyregionalne.pl/jakosc.html</t>
  </si>
  <si>
    <t>Yes - research and development in  sustainable production processes.</t>
  </si>
  <si>
    <t>Certifies the high-quality of the products and is product – specific: in the process of certification the producer must provide information on how and why the product qualifies for the certificate; applied in Poland; not legally binding.</t>
  </si>
  <si>
    <t>Quality Meat Program (QMP) developed by the Polish Association of Beef Producers</t>
  </si>
  <si>
    <t>Muscling grades E, U, R, O+ and fat levels 2, 3, 4 according to the EUROP scale, minimum carcass weight of bulls and steers 240 kg, heifers 220 kg, beef carcass categories A, C, E, hard fat, white or cream-white, muscles and fat free from hematomas, post-chilling meat pH must not exceed 5.8, meat free from DFD (dark, firm, dry) defects.</t>
  </si>
  <si>
    <t>https://www.gov.pl/web/rolnictwo/quality-meat-program-qmp</t>
  </si>
  <si>
    <t>A standard for the bovine meat; applied in Poland; not legally binding.</t>
  </si>
  <si>
    <t>GMO-free Voluntary Labelling</t>
  </si>
  <si>
    <t xml:space="preserve">
Foods of plant origin, but only those that have genetically modified counterparts approved for the EU market that have been entered in the European Commission’s register of genetically modified food and feed (i.e., corn, canola, soybeans, sugar beets, and cotton), food of animal origin (e.g., meat, milk, eggs) obtained from animals or from animals fed with GMO-free feed during the grace period preceding its acquisition, and the feeding process of these animals was documented.</t>
  </si>
  <si>
    <t>Fruits &amp; Vegetables, Bovine, Pork, Poultry, Eggs, Cereals</t>
  </si>
  <si>
    <t xml:space="preserve">All its components that are animal-derived products and all its plant-derived components that contain, are made of, or have been produced from organisms for which equivalents are registered in the GMO food and feed registry, meet the conditions specified are regulated. </t>
  </si>
  <si>
    <t>https://isap.sejm.gov.pl/isap.nsf/download.xsp/WDU20210000763/T/D20210763L.pdf</t>
  </si>
  <si>
    <t>Sets rules on marking products without GMO; applied in Poland; legally binding.</t>
  </si>
  <si>
    <t>Jam</t>
  </si>
  <si>
    <t>Malta</t>
  </si>
  <si>
    <t>https://legislation.mt/eli/sl/449.41/eng</t>
  </si>
  <si>
    <t>Sets  the minimum quality and labeling of fruit jams, jellies, jams and sweetened chestnut pulp intended for human consumption; applied in Malta; legally binding.</t>
  </si>
  <si>
    <t>Fish packing</t>
  </si>
  <si>
    <t>Fish packing and processing. </t>
  </si>
  <si>
    <t>https://legislation.mt/eli/sl/449.25/eng</t>
  </si>
  <si>
    <t>Sets rules for fish packing and processing; applied in Malta; legally binding.</t>
  </si>
  <si>
    <t>Residues in meat</t>
  </si>
  <si>
    <t>Fish, beef</t>
  </si>
  <si>
    <t>Bovine, Fish</t>
  </si>
  <si>
    <t>The administering to a farm aquaculture animal, by any means  whatsoever, of substances  having a thyrostatic, oestrogenic, androgenic or gestagenic action, chloramphenicol and beta-agonists.</t>
  </si>
  <si>
    <t>https://legislation.mt/eli/sl/449.18/20100722/eng</t>
  </si>
  <si>
    <t>Sets rules for residues in meat; applied in Malta; legally binding.</t>
  </si>
  <si>
    <t xml:space="preserve">Labelling of dried beans </t>
  </si>
  <si>
    <t>Dried beans</t>
  </si>
  <si>
    <t>No  pre-packed  dried  beans  may  be  sold  for human consumption unless the container or package thereof carries a label stating the following: 
"IMPORTANT INSTRUCTIONS: To  make the  beans  safe  to  eat it is important to follow these instructions: BEFORE cooking or eating the beans (1) Soak beans for a minimum of five hours; (2) Pour away the water; (3) Boil the beans vigorously in fresh water for at least 10 minutes; then follow your recipe."</t>
  </si>
  <si>
    <t>https://legislation.mt/eli/sl/449.15/20100722/eng</t>
  </si>
  <si>
    <t>Sets rules on labelling of dried beans; applied in Malta; legally binding.</t>
  </si>
  <si>
    <t>Corned beef regulations</t>
  </si>
  <si>
    <t>Corned beef</t>
  </si>
  <si>
    <t>Regulation about packing and labelling.</t>
  </si>
  <si>
    <t>https://legislation.mt/eli/ln/1981/100/eng</t>
  </si>
  <si>
    <t>Sets rules for the corned beef products; applied in Malta; legally binding.</t>
  </si>
  <si>
    <t>Statutory Instrument No. 307/2006 - Health (Country of Origin of Beef) Regulations 2006</t>
  </si>
  <si>
    <t>Applies to beef prepared for the consumer</t>
  </si>
  <si>
    <t>Ireland</t>
  </si>
  <si>
    <t>Statutory Instrument No. 307 of 2006 and its amendment Statutory Instrument No. 85 of 2007 are intended primarily for the catering and food service sector. The regulations place an obligation on restaurants and other catering establishments to communicate information on the country of origin of beef to the consumer. Statutory Instrument No. 307 of 2006 and it amendments in Statutory Instrument No. 85 of 2007 only apply to businesses providing prepared beef to consumers.</t>
  </si>
  <si>
    <t>https://www.fsai.ie/enforcement-and-legislation/legislation/food-legislation/meat-fresh-meat/labelling-of-beef-and-beef-products
https://www.irishstatutebook.ie/eli/2007/si/85/</t>
  </si>
  <si>
    <t>The regulations place an obligation on restaurants and other catering establishments to communicate information on the country of origin of beef to the consumer; applied in Ireland; legally binding.</t>
  </si>
  <si>
    <t>Statutory Instrument No. 435/2000 and S.I. 485/2002 (Traceability and Origin Labelling)</t>
  </si>
  <si>
    <t>Applies to all fresh or frozen beef, either carcasses, de-boned meat, cut meat or minced meat, which are marketed in the EU</t>
  </si>
  <si>
    <t>Mandatory traceability and origin labeling for beef from slaughterhouse to point of sale to consumers. This labeling system for beef consists of two elements, a compulsory beef labelling system and a voluntary beef labeling system, with the objective of providing maximum transparency during the marketing of beef. Compulsory beef labeling requires operators or organisations to label beef with specific information at all stages of marketing up to and including the point of sale to the consumer.</t>
  </si>
  <si>
    <t>https://www.fsai.ie/enforcement-and-legislation/legislation/food-legislation/meat-fresh-meat/labelling-of-beef-and-beef-products</t>
  </si>
  <si>
    <t>Mandatory traceability and origin labelling for beef from slaughterhouse to point of sale to consumers; applied in Ireland; legally binding.</t>
  </si>
  <si>
    <t>Health (Definition of Marginal, Localised and Restricted Activity) (Butcher Shop) Regulations 2010 (Statutory Instrument 340 of 2010)</t>
  </si>
  <si>
    <t>Statutory Instrument 340 of 2010 which was introduced in July 2010 applies to food business operators supplying food of animal origin from a retail butcher shop, or a butcher shop unit within a retail establishment, to other retail establishments.</t>
  </si>
  <si>
    <t>Intended to define “marginal, localised and restricted activity” as referred to in Article 1(5)(b)(ii) of Regulation (EC) No. 853/2004 of the European Parliament and of the Council of 29 April 2004 laying down specific hygiene rules for food of animal origin, and as referred to in Regulation 2(1) of the European Communities (Hygiene of Foodstuffs) Regulations 2006. Applies to food business operators supplying food of animal origin from a retail butcher shop, or a butcher shop unit within a retail establishment, to other retail establishments.</t>
  </si>
  <si>
    <t>https://www.fsai.ie/enforcement-and-legislation/legislation/food-legislation/food-hygiene/national-rules</t>
  </si>
  <si>
    <t>Defines “marginal, localised and restricted activity” when it comes to hygiene rules for food of animal origin; applied in Ireland; legally binding.</t>
  </si>
  <si>
    <t>Potatoes - Main Requirements for Sale</t>
  </si>
  <si>
    <t>Quality, grading and labelling requirements for potatoes that are to be sold in Ireland.</t>
  </si>
  <si>
    <t>https://www.gov.ie/en/collection/b0fc3-fresh-fruit-and-vegetables-marketing-standards-eu/</t>
  </si>
  <si>
    <t xml:space="preserve">Requirements for the quality, grading and labelling of potatoes in Ireland; applied in Ireland; legally binding. </t>
  </si>
  <si>
    <t>Wachauer Marille</t>
  </si>
  <si>
    <t>Apricot</t>
  </si>
  <si>
    <t>Protected Designation of Origin (PDO) / Protected Geographical indication (PGI)</t>
  </si>
  <si>
    <t>https://ec.europa.eu/agriculture/eambrosia/geographical-indications-register/</t>
  </si>
  <si>
    <t>Ensures that the product (or parts of the product) originate in a certain location (can be recognized by the consumers elsewhere in the world); applied in the EU; not legally binding.</t>
  </si>
  <si>
    <t>Steirische Käferbohne</t>
  </si>
  <si>
    <t>Pöllauer Hirschbirne</t>
  </si>
  <si>
    <t>Pear</t>
  </si>
  <si>
    <t>Vlaams-Brabantse tafeldruif</t>
  </si>
  <si>
    <t>Grape</t>
  </si>
  <si>
    <t>Vlees van het rood ras van West-Vlaanderen</t>
  </si>
  <si>
    <t>Meso turopoljske svinje</t>
  </si>
  <si>
    <t>Varaždinsko zelje</t>
  </si>
  <si>
    <t>Cabbage</t>
  </si>
  <si>
    <t>Neretvanska mandarina</t>
  </si>
  <si>
    <t>Mandarin</t>
  </si>
  <si>
    <t>Meso crne slavonske svinje</t>
  </si>
  <si>
    <t>Istarski pršut / Istrski pršut</t>
  </si>
  <si>
    <t>Croatia, Slovenia</t>
  </si>
  <si>
    <t>Meso istarskog goveda - boškarina / Meso istrskega goveda - boškarina</t>
  </si>
  <si>
    <t>Pohořelický kapr</t>
  </si>
  <si>
    <t>Czechia</t>
  </si>
  <si>
    <t>Všestarská cibule</t>
  </si>
  <si>
    <t>Onion</t>
  </si>
  <si>
    <t>Kitkan viisas</t>
  </si>
  <si>
    <t>Finland</t>
  </si>
  <si>
    <t>Lapin Puikula</t>
  </si>
  <si>
    <t>Potato</t>
  </si>
  <si>
    <t>Stromberger Pflaume</t>
  </si>
  <si>
    <t>Plum</t>
  </si>
  <si>
    <t>Fränkischer Grünkern</t>
  </si>
  <si>
    <t>Grain</t>
  </si>
  <si>
    <t>Weideochse vom Limpurger Rind</t>
  </si>
  <si>
    <t>Αυγοτάραχο Μεσολογγίου / Avgotaracho Messolongiou</t>
  </si>
  <si>
    <t>Greece</t>
  </si>
  <si>
    <t>Κεράσια τραγανά Ροδοχωρίου / Kerassia Tragana Rodochoriou</t>
  </si>
  <si>
    <t>Κονσερβολιά Αμφίσσης / Konservolia Amfissis</t>
  </si>
  <si>
    <t>Olive</t>
  </si>
  <si>
    <t>Μήλα Ντελίσιους Πιλαφά Τριπόλεως / Mila Delicious Pilafa de Tripoli</t>
  </si>
  <si>
    <t>Apple</t>
  </si>
  <si>
    <t>Κονσερβολιά Ροβίων / Konservolia Rovion</t>
  </si>
  <si>
    <t>Θρούμπα Χίου / Throumpa Chiou</t>
  </si>
  <si>
    <t>Κονσερβολιά Στυλίδας / Konservolia Stylidas</t>
  </si>
  <si>
    <t>Θρούμπα Θάσου / Throumpa Thassou</t>
  </si>
  <si>
    <t>Πράσινες Ελιές Χαλκιδικής / Prasines Elies Chalkidikis</t>
  </si>
  <si>
    <t>Ροδάκινα Νάουσας / Rodakina Naoussas</t>
  </si>
  <si>
    <t>Peach</t>
  </si>
  <si>
    <t>Φάβα Σαντορίνης / Fava Santorinis</t>
  </si>
  <si>
    <t>Φακή Εγκλουβής / Faki Eglouvis</t>
  </si>
  <si>
    <t>Lentils</t>
  </si>
  <si>
    <t>Ρόδι Ερμιόνης / Rodi Ermionis</t>
  </si>
  <si>
    <t>Pomegranate</t>
  </si>
  <si>
    <t>Κονσερβολιά Πηλίου Βόλου / Konservolia Piliou Volou</t>
  </si>
  <si>
    <t>Φιρίκι Πηλίου / Firiki Piliou</t>
  </si>
  <si>
    <t>Τοματάκι Σαντορίνης / Tomataki Santorinis</t>
  </si>
  <si>
    <t>Tomato</t>
  </si>
  <si>
    <t>Κονσερβολιά Αταλάντης / Konservolia Atalantis</t>
  </si>
  <si>
    <t>Ακτινίδιο Σπερχειού / Aktinidio Sperchiou</t>
  </si>
  <si>
    <t>Kiwi</t>
  </si>
  <si>
    <t>Ελιά Καλαμάτας / Elia Kalamatas</t>
  </si>
  <si>
    <t>Τσακώνικη μελιτζάνα Λεωνιδίου / Tsakoniki Melitzana Leonidiou</t>
  </si>
  <si>
    <t>Eggplant</t>
  </si>
  <si>
    <t>Θρούμπα Αμπαδιάς Ρεθύμνης Κρήτης / Throumpa Ampadias Rethymnis Kritis</t>
  </si>
  <si>
    <t>Πορτοκάλια Μάλεμε Χανίων Κρήτης / Portokalia Maleme Chanion Kritis</t>
  </si>
  <si>
    <t>Orange</t>
  </si>
  <si>
    <t>Μήλα Ζαγοράς Πηλίου / Mila Zagoras Piliou</t>
  </si>
  <si>
    <t>Szomolyai rövidszárú fekete cseresznye</t>
  </si>
  <si>
    <t>Cherry</t>
  </si>
  <si>
    <t>Hungary</t>
  </si>
  <si>
    <t>Hajdúsági torma</t>
  </si>
  <si>
    <t>Horseradish</t>
  </si>
  <si>
    <t>Makói vöröshagyma / Makói hagyma</t>
  </si>
  <si>
    <t>Tuzséri alma</t>
  </si>
  <si>
    <t>Akasztói szikiponty</t>
  </si>
  <si>
    <t>Patata novella di Galatina</t>
  </si>
  <si>
    <t>Valle d'Aosta Jambon de Bosses</t>
  </si>
  <si>
    <t>Carciofo Spinoso di Sardegna</t>
  </si>
  <si>
    <t>Crudo di Cuneo</t>
  </si>
  <si>
    <t>Cozza di Scardovari</t>
  </si>
  <si>
    <t>Melanzana Rossa di Rotonda</t>
  </si>
  <si>
    <t>Ciliegia dell'Etna</t>
  </si>
  <si>
    <t>Aglio di Voghiera</t>
  </si>
  <si>
    <t>Farro di Monteleone di Spoleto</t>
  </si>
  <si>
    <t>Marrone di San Zeno</t>
  </si>
  <si>
    <t>Chestnut</t>
  </si>
  <si>
    <t>Asparago Bianco di Bassano</t>
  </si>
  <si>
    <t>Ficodindia di San Cono</t>
  </si>
  <si>
    <t>Nocciola Romana</t>
  </si>
  <si>
    <t>Hazelnut</t>
  </si>
  <si>
    <t>Oliva di Gaeta</t>
  </si>
  <si>
    <t>Susina di Dro</t>
  </si>
  <si>
    <t>Cedro di Santa Maria del Cedro</t>
  </si>
  <si>
    <t>Lemon</t>
  </si>
  <si>
    <t>Culatello di Zibello</t>
  </si>
  <si>
    <t>Mela Val di Non</t>
  </si>
  <si>
    <t>Pomodoro San Marzano dell'Agro Sarnese-Nocerino</t>
  </si>
  <si>
    <t>Cipollotto Nocerino</t>
  </si>
  <si>
    <t>Oliva Ascolana del Piceno</t>
  </si>
  <si>
    <t>Fichi di Cosenza</t>
  </si>
  <si>
    <t>Figs</t>
  </si>
  <si>
    <t>Ficodindia dell'Etna</t>
  </si>
  <si>
    <t>Pomodorino del Piennolo del Vesuvio</t>
  </si>
  <si>
    <t>Aglio Bianco Polesano</t>
  </si>
  <si>
    <t>Prosciutto di Carpegna</t>
  </si>
  <si>
    <t>Cinta Senese</t>
  </si>
  <si>
    <t>Fagioli Bianchi di Rotonda</t>
  </si>
  <si>
    <t>Patata di Bologna</t>
  </si>
  <si>
    <t>La Bella della Daunia</t>
  </si>
  <si>
    <t>Nocellara del Belice</t>
  </si>
  <si>
    <t>Riso di Baraggia Biellese e Vercellese</t>
  </si>
  <si>
    <t>Fico Bianco del Cilento</t>
  </si>
  <si>
    <t>Colatura di alici di Cetara</t>
  </si>
  <si>
    <t>Prosciutto di San Daniele</t>
  </si>
  <si>
    <t>Peperone di Pontecorvo</t>
  </si>
  <si>
    <t>Peppers</t>
  </si>
  <si>
    <t>Fagiolo Cannellino di Atina</t>
  </si>
  <si>
    <t>Arancia di Ribera</t>
  </si>
  <si>
    <t>Prosciutto di Modena</t>
  </si>
  <si>
    <t>Prosciutto di Parma</t>
  </si>
  <si>
    <t>Prosciutto Veneto Berico-Euganeo</t>
  </si>
  <si>
    <t>Tinca Gobba Dorata del Pianalto di Poirino</t>
  </si>
  <si>
    <t>Pancetta di Calabria</t>
  </si>
  <si>
    <t>Prosciutto Toscano</t>
  </si>
  <si>
    <t>Cappero delle Isole Eolie</t>
  </si>
  <si>
    <t>Cappero</t>
  </si>
  <si>
    <t>Latvijas lielie pelēkie zirņi</t>
  </si>
  <si>
    <t>Latvia</t>
  </si>
  <si>
    <t>Opperdoezer Ronde</t>
  </si>
  <si>
    <t>Brabantse Wal asperges</t>
  </si>
  <si>
    <t>Wiśnia nadwiślanka</t>
  </si>
  <si>
    <t>Karp zatorski</t>
  </si>
  <si>
    <t>Fasola Wrzawska</t>
  </si>
  <si>
    <t>Fasola Piękny Jaś z Doliny Dunajca / Fasola z Doliny Dunajca</t>
  </si>
  <si>
    <t>Carne de Porco Alentejano</t>
  </si>
  <si>
    <t>Ameixa d'Elvas</t>
  </si>
  <si>
    <t>Maçã Riscadinha de Palmela</t>
  </si>
  <si>
    <t>Carne de Bravo do Ribatejo</t>
  </si>
  <si>
    <t>Carne Marinhoa</t>
  </si>
  <si>
    <t>Batata-Doce da Madeira</t>
  </si>
  <si>
    <t>Azeitona de conserva Negrinha de Freixo</t>
  </si>
  <si>
    <t>Ananás dos Açores / São Miguel</t>
  </si>
  <si>
    <t>Pineapple</t>
  </si>
  <si>
    <t>Presunto de Barrancos / Paleta de Barrancos</t>
  </si>
  <si>
    <t>Azeitonas de Conserva de Elvas e Campo Maior</t>
  </si>
  <si>
    <t>Maracujá dos Açores / S. Miguel</t>
  </si>
  <si>
    <t>Passion fruit</t>
  </si>
  <si>
    <t>Carnalentejana</t>
  </si>
  <si>
    <t>Cebola da Madeira</t>
  </si>
  <si>
    <t>Carne Mertolenga</t>
  </si>
  <si>
    <t>Carne Maronesa</t>
  </si>
  <si>
    <t>Carne Arouquesa</t>
  </si>
  <si>
    <t>Cereja de São Julião-Portalegre</t>
  </si>
  <si>
    <t>Carne Barrosã</t>
  </si>
  <si>
    <t>Carne de Bísaro Transmontano / Carne de Porco Transmontano</t>
  </si>
  <si>
    <t>Anona da Madeira</t>
  </si>
  <si>
    <t>Carne da Charneca</t>
  </si>
  <si>
    <t>Pêra Rocha do Oeste</t>
  </si>
  <si>
    <t>Carne Ramo Grande</t>
  </si>
  <si>
    <t>Carne Mirandesa</t>
  </si>
  <si>
    <t>Carne Cachena da Peneda</t>
  </si>
  <si>
    <t>Presunto do Alentejo / Paleta do Alentejo</t>
  </si>
  <si>
    <t>Maçã Bravo de Esmolfe</t>
  </si>
  <si>
    <t>Melocotón de Calanda</t>
  </si>
  <si>
    <t>Spain</t>
  </si>
  <si>
    <t>Nísperos Callosa d'En Sarriá</t>
  </si>
  <si>
    <t>Loquats  (fruit)</t>
  </si>
  <si>
    <t>Cebolla Fuentes de Ebro</t>
  </si>
  <si>
    <t>Arroz del Delta del Ebro / Arròs del Delta de l'Ebre</t>
  </si>
  <si>
    <t>Los Pedroches</t>
  </si>
  <si>
    <t>Aceituna de Mallorca / Aceituna Mallorquina / Oliva de Mallorca / Oliva Mallorquina</t>
  </si>
  <si>
    <t>Alubia de Anguiano</t>
  </si>
  <si>
    <t>Chirimoya de la Costa tropical de Granada-Málaga</t>
  </si>
  <si>
    <t>Cherimoya fruit</t>
  </si>
  <si>
    <t>Pemento de Herbón</t>
  </si>
  <si>
    <t>Manzana Reineta del Bierzo</t>
  </si>
  <si>
    <t>Cereza del Jerte</t>
  </si>
  <si>
    <t>Pimientos del Piquillo de Lodosa</t>
  </si>
  <si>
    <t>Jabugo</t>
  </si>
  <si>
    <t>Calasparra</t>
  </si>
  <si>
    <t>Arroz de Valencia / Arròs de València</t>
  </si>
  <si>
    <t>Alcachofa de Benicarló / Carxofa de Benicarló</t>
  </si>
  <si>
    <t>Appricot</t>
  </si>
  <si>
    <t>Aceituna Aloreña de Málaga</t>
  </si>
  <si>
    <t>Pera de Lleida</t>
  </si>
  <si>
    <t>Jamón de Teruel / Paleta de Teruel</t>
  </si>
  <si>
    <t>Uva de mesa embolsada del Vinalopó</t>
  </si>
  <si>
    <t>Papas Antiguas de Canarias</t>
  </si>
  <si>
    <t>Peras de Rincón de Soto</t>
  </si>
  <si>
    <t>Mongeta del Ganxet</t>
  </si>
  <si>
    <t>Granada Mollar de Elche / Granada de Elche</t>
  </si>
  <si>
    <t>Guijuelo</t>
  </si>
  <si>
    <t>Dehesa de Extremadura</t>
  </si>
  <si>
    <t>Fesols de Santa Pau</t>
  </si>
  <si>
    <t>Pera de Jumilla</t>
  </si>
  <si>
    <t>Gotlandslins</t>
  </si>
  <si>
    <t>Sweden</t>
  </si>
  <si>
    <t>Allåkerbär från Norrland</t>
  </si>
  <si>
    <t>Brambleberries</t>
  </si>
  <si>
    <t>Rökt Vättersik</t>
  </si>
  <si>
    <t>Marchfeldspargel</t>
  </si>
  <si>
    <t>Tiroler Speck</t>
  </si>
  <si>
    <t>Gailtaler Speck</t>
  </si>
  <si>
    <t>Steirischer Kren</t>
  </si>
  <si>
    <t>Jambon d'Ardenne</t>
  </si>
  <si>
    <t>Plate de Florenville</t>
  </si>
  <si>
    <t>Dalmatinska pečenica</t>
  </si>
  <si>
    <t>Krčki pršut</t>
  </si>
  <si>
    <t>Međimursko meso 'z tiblice</t>
  </si>
  <si>
    <t>Drniški pršut</t>
  </si>
  <si>
    <t>Dalmatinski pršut</t>
  </si>
  <si>
    <t>Dalmatinska panceta</t>
  </si>
  <si>
    <t>Ludbreški hren</t>
  </si>
  <si>
    <t>Lički krumpir</t>
  </si>
  <si>
    <t>Λούντζα Πιτσιλιάς / Lountza Pitsilias</t>
  </si>
  <si>
    <t>Cyprus</t>
  </si>
  <si>
    <t>Χοιρομέρι Πιτσιλιάς / Hiromeri Pitsilias</t>
  </si>
  <si>
    <t>Chelčicko - Lhenické ovoce</t>
  </si>
  <si>
    <t>Fruit</t>
  </si>
  <si>
    <t>Třeboňský kapr</t>
  </si>
  <si>
    <t>Lammefjordsgulerod</t>
  </si>
  <si>
    <t>Carrot</t>
  </si>
  <si>
    <t>Lammefjordskartofler</t>
  </si>
  <si>
    <t>Suonenjoen mansikka</t>
  </si>
  <si>
    <t>Aito saunapalvikinkku / Äkta basturökt skinka</t>
  </si>
  <si>
    <t>Puruveden muikku</t>
  </si>
  <si>
    <t>Bamberger Hörnla / Bamberger Hörnle / Bamberger Hörnchen</t>
  </si>
  <si>
    <t>Westfälischer Knochenschinken</t>
  </si>
  <si>
    <t>Spreewälder Meerrettich</t>
  </si>
  <si>
    <t>Abensberger Spargel / Abensberger Qualitätsspargel</t>
  </si>
  <si>
    <t>Salate von der Insel Reichenau</t>
  </si>
  <si>
    <t>Salads</t>
  </si>
  <si>
    <t>Ammerländer Dielenrauchschinken / Ammerländer Katenschinken</t>
  </si>
  <si>
    <t>Tomaten von der Insel Reichenau</t>
  </si>
  <si>
    <t>Höri Bülle</t>
  </si>
  <si>
    <t>Bayerisches Rindfleisch / Rindfleisch aus Bayern</t>
  </si>
  <si>
    <t>Schwäbisch-Hällisches Qualitätsschweinefleisch</t>
  </si>
  <si>
    <t>Oberlausitzer Biokarpfen</t>
  </si>
  <si>
    <t>Bornheimer Spargel / Spargel aus dem Anbaugebiet Bornheim</t>
  </si>
  <si>
    <t>Fränkischer Karpfen / Frankenkarpfen / Karpfen aus Franken</t>
  </si>
  <si>
    <t>Holsteiner Katenschinken / Holsteiner Schinken / Holsteiner Katenrauchschinken / Holsteiner Knochenschinken</t>
  </si>
  <si>
    <t>Filderkraut / Filderspitzkraut</t>
  </si>
  <si>
    <t>Lüneburger Heidekartoffeln</t>
  </si>
  <si>
    <t>Schwarzwälder Schinken</t>
  </si>
  <si>
    <t>Walbecker Spargel</t>
  </si>
  <si>
    <t>Oberpfälzer Karpfen</t>
  </si>
  <si>
    <t>Gurken von der Insel Reichenau</t>
  </si>
  <si>
    <t>Peitzer Karpfen</t>
  </si>
  <si>
    <t>Ammerländer Schinken / Ammerländer Knochenschinken</t>
  </si>
  <si>
    <t>Aischgründer Karpfen</t>
  </si>
  <si>
    <t>Spreewälder Gurken</t>
  </si>
  <si>
    <t>Bayerischer Meerrettich / Bayerischer Kren</t>
  </si>
  <si>
    <t>Schwarzwaldforelle</t>
  </si>
  <si>
    <t>Glückstädter Matjes</t>
  </si>
  <si>
    <t>Spargel aus Franken / Fränkischer Spargel / Franken-Spargel</t>
  </si>
  <si>
    <t>Beelitzer Spargel</t>
  </si>
  <si>
    <t>Schrobenhausener Spargel / Spargel aus dem Schrobenhausener Land / Spargel aus dem Anbaugebiet Schrobenhausen</t>
  </si>
  <si>
    <t>Dithmarscher Kohl</t>
  </si>
  <si>
    <t>Φασόλια Βανίλιες Φενεού / Fasolia Vanilies Feneou</t>
  </si>
  <si>
    <t>Φασόλια Γίγαντες - Ελέφαντες Καστοριάς / Fasolia Gigantes - Elefantes Kastorias</t>
  </si>
  <si>
    <t>Ακτινίδιο Πιερίας / Aktinidio Pierias</t>
  </si>
  <si>
    <t>Φασόλια γίγαντες ελέφαντες Κάτω Νευροκοπίου / Fassolia Gigantes Elefantes Kato Nevrokopiou</t>
  </si>
  <si>
    <t>Αγκινάρα Ιρίων / Agkinara Irion</t>
  </si>
  <si>
    <t>Φασόλια (πλακέ μεγαλόσπερμα) Πρεσπών Φλώρινας / Fasolia (plake megalosperma) Prespon Florinas</t>
  </si>
  <si>
    <t>Πατάτα Κάτω Νευροκοπίου / Patata Kato Nevrokopiou</t>
  </si>
  <si>
    <t>Σύκα Βραβρώνας Μαρκοπούλου Μεσογείων / Syka Vravronas Markopoulou Mesogeion</t>
  </si>
  <si>
    <t>Φασόλια (Γίγαντες Ελέφαντες) Πρεσπών Φλώρινας / Fasolia Gigantes Elefantes Prespon Florinas</t>
  </si>
  <si>
    <t>Μανταρίνι Χίου / Mandarini Chiou</t>
  </si>
  <si>
    <t>Mandarins</t>
  </si>
  <si>
    <t>Κονσερβολιά Άρτας / Konservolia Artas</t>
  </si>
  <si>
    <t>Olives</t>
  </si>
  <si>
    <t>Φασόλια Κατταβιάς Ρόδου / Fasolia Kattavias Rodou / Λόπια Κατταβιάς Ρόδου / Lopia Kattavias Rodou</t>
  </si>
  <si>
    <t>Φάβα Φενεού / Fava Feneou</t>
  </si>
  <si>
    <t>Το Φάβα της Αμοργού / To Fava tis Amorgou</t>
  </si>
  <si>
    <t>Μήλο Καστοριάς / Milo Kastorias</t>
  </si>
  <si>
    <t>Πατάτα Νάξου / Patata Naxou</t>
  </si>
  <si>
    <t>Φασόλια κοινά μεσόσπερμα Κάτω Νευροκοπίοu / Fassolia kina Messosperma Kato Nevrokopiou</t>
  </si>
  <si>
    <t>Gönci kajszibarack / Gönci kajszi</t>
  </si>
  <si>
    <t>Szentesi paprika</t>
  </si>
  <si>
    <t>Balatoni hal</t>
  </si>
  <si>
    <t>Magyar szürkemarha hús</t>
  </si>
  <si>
    <t>Újfehértói meggy</t>
  </si>
  <si>
    <t>Sour cherries</t>
  </si>
  <si>
    <t>Nagykun rizs</t>
  </si>
  <si>
    <t>Nagykörűi ropogós cseresznye</t>
  </si>
  <si>
    <t>Budaörsi őszibarack</t>
  </si>
  <si>
    <t>Szilvásváradi pisztráng</t>
  </si>
  <si>
    <t>Derecske alma</t>
  </si>
  <si>
    <t>Appple</t>
  </si>
  <si>
    <t>Szegedi tükörponty</t>
  </si>
  <si>
    <t>Fertőd vidéki sárgarépa</t>
  </si>
  <si>
    <t>Szabolcsi alma</t>
  </si>
  <si>
    <t>Clare Island Salmon</t>
  </si>
  <si>
    <t>Irish Grass Fed Beef</t>
  </si>
  <si>
    <t>Ireland (and Northern Ireland)</t>
  </si>
  <si>
    <t>Mele del Trentino</t>
  </si>
  <si>
    <t>Lenticchia di Altamura</t>
  </si>
  <si>
    <t>Limone di Siracusa</t>
  </si>
  <si>
    <t>Pomodoro di Pachino</t>
  </si>
  <si>
    <t>Pesca di Leonforte</t>
  </si>
  <si>
    <t>Limone Interdonato Messina</t>
  </si>
  <si>
    <t>Fagiolo di Sarconi</t>
  </si>
  <si>
    <t>Limone di Sorrento</t>
  </si>
  <si>
    <t>Coppa di Parma</t>
  </si>
  <si>
    <t>Fagiolo di Sorana</t>
  </si>
  <si>
    <t>Bresaola della Valtellina</t>
  </si>
  <si>
    <t>Mela Alto Adige / Südtiroler Apfel</t>
  </si>
  <si>
    <t>Mela Rossa Cuneo</t>
  </si>
  <si>
    <t>Cavolfiore della Piana del Sele</t>
  </si>
  <si>
    <t>Limone Femminello del Gargano</t>
  </si>
  <si>
    <t>Limone di Rocca Imperiale</t>
  </si>
  <si>
    <t>Fagiolo Cuneo</t>
  </si>
  <si>
    <t>Cappero di Pantelleria</t>
  </si>
  <si>
    <t>Cappero (fruit)</t>
  </si>
  <si>
    <t>Insalata di Lusia</t>
  </si>
  <si>
    <t>Scalogno di Romagna</t>
  </si>
  <si>
    <t>Radicchio Rosso di Treviso</t>
  </si>
  <si>
    <t>Raddish</t>
  </si>
  <si>
    <t>Fagiolo di Lamon della Vallata Bellunese</t>
  </si>
  <si>
    <t>Lenticchia di Castelluccio di Norcia</t>
  </si>
  <si>
    <t>Radicchio di Verona</t>
  </si>
  <si>
    <t>Italian chicory (vegetable)</t>
  </si>
  <si>
    <t>Limone Costa d'Amalfi</t>
  </si>
  <si>
    <t>Radicchio di Chioggia</t>
  </si>
  <si>
    <t>Patata dell'Alto Viterbese</t>
  </si>
  <si>
    <t>Potatos</t>
  </si>
  <si>
    <t>Cipolla bianca di Margherita</t>
  </si>
  <si>
    <t>Carota dell'Altopiano del Fucino</t>
  </si>
  <si>
    <t>Ciliegia di Bracigliano</t>
  </si>
  <si>
    <t>Arancia del Gargano</t>
  </si>
  <si>
    <t>Amarene Brusche di Modena</t>
  </si>
  <si>
    <t>Carciofo Brindisino</t>
  </si>
  <si>
    <t>Artichoke</t>
  </si>
  <si>
    <t>Mela di Valtellina</t>
  </si>
  <si>
    <t>Pesca di Delia</t>
  </si>
  <si>
    <t>Asparago di Cantello</t>
  </si>
  <si>
    <t>Farro della Garfagnana</t>
  </si>
  <si>
    <t>Radicchio Variegato di Castelfranco</t>
  </si>
  <si>
    <t>Prosciutto di Sauris</t>
  </si>
  <si>
    <t>Asparago verde di Canino</t>
  </si>
  <si>
    <t>Ciliegia di Marostica</t>
  </si>
  <si>
    <t>Prosciutto di Norcia</t>
  </si>
  <si>
    <t>Cipolla Rossa di Tropea Calabria</t>
  </si>
  <si>
    <t>Riso Nano Vialone Veronese</t>
  </si>
  <si>
    <t>Pesca e Nettarina di Romagna</t>
  </si>
  <si>
    <t>Kiwi Latina</t>
  </si>
  <si>
    <t>Speck Alto Adige / Südtiroler Markenspeck / Südtiroler Speck</t>
  </si>
  <si>
    <t>Pescabivona</t>
  </si>
  <si>
    <t>Vitelloni Piemontesi della Coscia</t>
  </si>
  <si>
    <t>Carota Novella di Ispica</t>
  </si>
  <si>
    <t>Carciofo Romanesco del Lazio</t>
  </si>
  <si>
    <t>Carciofo di Paestum</t>
  </si>
  <si>
    <t>Sedano Bianco di Sperlonga</t>
  </si>
  <si>
    <t>Celery</t>
  </si>
  <si>
    <t>Acciughe sotto sale del mar Ligure</t>
  </si>
  <si>
    <t>Pera dell'Emilia Romagna</t>
  </si>
  <si>
    <t>Asparago di Badoere</t>
  </si>
  <si>
    <t>Uva da tavola di Mazzarrone</t>
  </si>
  <si>
    <t>Grapes</t>
  </si>
  <si>
    <t>Rucola della Piana del Sele</t>
  </si>
  <si>
    <t>Rucola</t>
  </si>
  <si>
    <t>Patata della Sila</t>
  </si>
  <si>
    <t>Ciliegia di Vignola</t>
  </si>
  <si>
    <t>Uva di Puglia</t>
  </si>
  <si>
    <t>Melone Mantovano</t>
  </si>
  <si>
    <t>Melon</t>
  </si>
  <si>
    <t>Pera Mantovana</t>
  </si>
  <si>
    <t>Asparago verde di Altedo</t>
  </si>
  <si>
    <t>Salmerino del Trentino</t>
  </si>
  <si>
    <t>Trote del Trentino</t>
  </si>
  <si>
    <t>Pesca di Verona</t>
  </si>
  <si>
    <t>Prosciutto Amatriciano</t>
  </si>
  <si>
    <t>Asparago bianco di Cimadolmo</t>
  </si>
  <si>
    <t>Vitellone Bianco dell'Appennino Centrale</t>
  </si>
  <si>
    <t>Clementine di Calabria</t>
  </si>
  <si>
    <t>Clementine</t>
  </si>
  <si>
    <t>Clementine del Golfo di Taranto</t>
  </si>
  <si>
    <t>Lenticchia di Onano</t>
  </si>
  <si>
    <t>Peperoni di Senise</t>
  </si>
  <si>
    <t>Pepper</t>
  </si>
  <si>
    <t>Patata del Fucino</t>
  </si>
  <si>
    <t>Anguria Reggiana</t>
  </si>
  <si>
    <t>Watermelon</t>
  </si>
  <si>
    <t>Riso del Delta del Po</t>
  </si>
  <si>
    <t>Patata Rossa di Colfiorito</t>
  </si>
  <si>
    <t>Uva da tavola di Canicattì</t>
  </si>
  <si>
    <t>Arancia Rossa di Sicilia</t>
  </si>
  <si>
    <t>Blood orange</t>
  </si>
  <si>
    <t>Ciliegia di Lari</t>
  </si>
  <si>
    <t>Melannurca Campana</t>
  </si>
  <si>
    <t>Finocchio di Isola Capo Rizzuto</t>
  </si>
  <si>
    <t>Fennel (vegetable)</t>
  </si>
  <si>
    <t>Limone dell'Etna</t>
  </si>
  <si>
    <t>Lardo di Colonnata</t>
  </si>
  <si>
    <t>Salacgrīvas nēģi</t>
  </si>
  <si>
    <t>Carnikavas nēģi</t>
  </si>
  <si>
    <t>Westlandse druif</t>
  </si>
  <si>
    <t>De Meerlander</t>
  </si>
  <si>
    <t>Truskawka kaszubska / kaszëbskô malëna</t>
  </si>
  <si>
    <t>Strawberry</t>
  </si>
  <si>
    <t>Jabłka łąckie</t>
  </si>
  <si>
    <t>Jabłka grójeckie</t>
  </si>
  <si>
    <t>Fasola korczyńska</t>
  </si>
  <si>
    <t>Czosnek galicyjski</t>
  </si>
  <si>
    <t>Azeitona Galega da Beira Baixa</t>
  </si>
  <si>
    <t>Presunto de Vinhais / Presunto Bísaro de Vinhais</t>
  </si>
  <si>
    <t>Cereja do Fundão</t>
  </si>
  <si>
    <t>Meloa de Santa Maria - Açores</t>
  </si>
  <si>
    <t>Arroz Carolino do Baixo Mondego</t>
  </si>
  <si>
    <t>Maçã da Cova da Beira</t>
  </si>
  <si>
    <t>Pêssego da Cova da Beira</t>
  </si>
  <si>
    <t>Batata de Trás-os-Montes</t>
  </si>
  <si>
    <t>Carne de Bovino Cruzado dos Lameiros do Barroso</t>
  </si>
  <si>
    <t>Presunto de Santana da Serra / Paleta de Santana da Serra</t>
  </si>
  <si>
    <t>Vitela de Lafões</t>
  </si>
  <si>
    <t>Presunto de Campo Maior e Elvas / Paleta de Campo Maior e Elvas</t>
  </si>
  <si>
    <t>Batata doce de Aljezur</t>
  </si>
  <si>
    <t>Alho da Graciosa</t>
  </si>
  <si>
    <t>Citrinos do Algarve</t>
  </si>
  <si>
    <t>Algarve citrus fruits</t>
  </si>
  <si>
    <t>Maçã de Alcobaça</t>
  </si>
  <si>
    <t>Capão de Freamunde</t>
  </si>
  <si>
    <t>Cereja da Cova da Beira</t>
  </si>
  <si>
    <t>Maçã da Beira Alta</t>
  </si>
  <si>
    <t>Presunto de Melgaço</t>
  </si>
  <si>
    <t>Arroz Carolino das Lezírias Ribatejanas</t>
  </si>
  <si>
    <t>Maçã de Portalegre</t>
  </si>
  <si>
    <t>Carne dos Açores</t>
  </si>
  <si>
    <t>Salată cu icre de știucă de Tulcea</t>
  </si>
  <si>
    <t>Scrumbie de Dunăre afumată</t>
  </si>
  <si>
    <t>Novac afumat din Ţara Bârsei</t>
  </si>
  <si>
    <t>Kraška panceta</t>
  </si>
  <si>
    <t>Kraški zašink</t>
  </si>
  <si>
    <t>Kraški pršut</t>
  </si>
  <si>
    <t>Prekmurska šunka</t>
  </si>
  <si>
    <t>Ptujski lük</t>
  </si>
  <si>
    <t>Jajca izpod Kamniških planin</t>
  </si>
  <si>
    <t>Ternera de Extremadura</t>
  </si>
  <si>
    <t>Carne de la Sierra de Guadarrama</t>
  </si>
  <si>
    <t>Espárrago de Huétor-Tájar</t>
  </si>
  <si>
    <t>Pimiento de Gernika / Gernikako Piperra</t>
  </si>
  <si>
    <t>Gall del Penedès</t>
  </si>
  <si>
    <t>Rooster</t>
  </si>
  <si>
    <t>Faba de Lourenzá</t>
  </si>
  <si>
    <t>Capón de Vilalba</t>
  </si>
  <si>
    <t>Clementinas de las Tierras del Ebro / Clementines de les Terres de l'Ebre</t>
  </si>
  <si>
    <t>Carne de Salamanca</t>
  </si>
  <si>
    <t>Grelos de Galicia</t>
  </si>
  <si>
    <t>Turnip greens</t>
  </si>
  <si>
    <t>Ternera de Navarra / Nafarroako Aratxea</t>
  </si>
  <si>
    <t>Plátano de Canarias</t>
  </si>
  <si>
    <t>Banana</t>
  </si>
  <si>
    <t>Pimiento de Fresno-Benavente</t>
  </si>
  <si>
    <t>Jamón de Serón</t>
  </si>
  <si>
    <t xml:space="preserve">Vaca Gallega – Buey Gallego </t>
  </si>
  <si>
    <t>Lenteja de Tierra de Campos</t>
  </si>
  <si>
    <t>Mojama de Isla Cristina</t>
  </si>
  <si>
    <t>Cerezas de la Montaña de Alicante / Cireres de la Muntanya d’Alacant</t>
  </si>
  <si>
    <t>Melocotón de Cieza</t>
  </si>
  <si>
    <t>Judías de El Barco de Ávila</t>
  </si>
  <si>
    <t>Patatas de Prades / Patates de Prades</t>
  </si>
  <si>
    <t>Cerdo de Teruel</t>
  </si>
  <si>
    <t>Berenjena de Almagro</t>
  </si>
  <si>
    <t>Pollo y Capón del Prat</t>
  </si>
  <si>
    <t>Patata de Galicia / Pataca de Galicia</t>
  </si>
  <si>
    <t>Carne de Ávila</t>
  </si>
  <si>
    <t>Melva de Andalucia</t>
  </si>
  <si>
    <t>Ajo Morado de Las Pedroñeras</t>
  </si>
  <si>
    <t>Tomate La Cañada</t>
  </si>
  <si>
    <t>Alubia de La Bañeza-León</t>
  </si>
  <si>
    <t>Manzana de Girona / Poma de Girona</t>
  </si>
  <si>
    <t>Espárrago verde de Guadalajara</t>
  </si>
  <si>
    <t>Pemento de Mougán</t>
  </si>
  <si>
    <t>Ternera Asturiana</t>
  </si>
  <si>
    <t>Cochinillo de Segovia</t>
  </si>
  <si>
    <t>Chosco de Tineo</t>
  </si>
  <si>
    <t>Garbanzo de Escacena</t>
  </si>
  <si>
    <t>Chickpeas</t>
  </si>
  <si>
    <t>Jamón de Trevélez</t>
  </si>
  <si>
    <t>Calçot de Valls</t>
  </si>
  <si>
    <t>Lenteja de La Armuña</t>
  </si>
  <si>
    <t>Faba Asturiana</t>
  </si>
  <si>
    <t>Melón de La Mancha</t>
  </si>
  <si>
    <t>Garbanzo de Fuentesaúco</t>
  </si>
  <si>
    <t>Pemento da Arnoia</t>
  </si>
  <si>
    <t>Ternera de Aliste</t>
  </si>
  <si>
    <t>Espárrago de Navarra</t>
  </si>
  <si>
    <t>Pemento de Oímbra</t>
  </si>
  <si>
    <t>Lacón Gallego</t>
  </si>
  <si>
    <t>Caballa de Andalucia</t>
  </si>
  <si>
    <t>Pimiento Riojano</t>
  </si>
  <si>
    <t>Ternera Gallega</t>
  </si>
  <si>
    <t>Carne de Cantabria</t>
  </si>
  <si>
    <t>Alcachofa de Tudela</t>
  </si>
  <si>
    <t>Cecina de León</t>
  </si>
  <si>
    <t>Pemento do Couto</t>
  </si>
  <si>
    <t>Vaca de Extremadura</t>
  </si>
  <si>
    <t>Gofio Canario</t>
  </si>
  <si>
    <t>Cebolla de la Mancha</t>
  </si>
  <si>
    <t>Carne de Vacuno del País Vasco / Euskal Okela</t>
  </si>
  <si>
    <t>Melón de Torre Pacheco-Murcia</t>
  </si>
  <si>
    <t>Cítricos Valencianos / Cítrics Valencians</t>
  </si>
  <si>
    <t>Citrus fruits</t>
  </si>
  <si>
    <t>Bruna bönor från Öland</t>
  </si>
  <si>
    <t>Vindelnrökt skinka</t>
  </si>
  <si>
    <t>Lappländsk Fjällröding</t>
  </si>
  <si>
    <t>Värmländskt skrädmjöl</t>
  </si>
  <si>
    <t>Dinde de Bresse</t>
  </si>
  <si>
    <t>Volaille de Bresse / Poulet de Bresse / Poularde de Bresse / Chapon de Bresse</t>
  </si>
  <si>
    <t>Volailles de l'Ain</t>
  </si>
  <si>
    <t>Volailles du Gers</t>
  </si>
  <si>
    <t>Volailles du Maine</t>
  </si>
  <si>
    <t>Volailles de l'Orléanais</t>
  </si>
  <si>
    <t>Volailles de Bourgogne</t>
  </si>
  <si>
    <t>Volailles du plateau de Langres</t>
  </si>
  <si>
    <t>Volailles du Charolais</t>
  </si>
  <si>
    <t>Volailles de Normandie</t>
  </si>
  <si>
    <t>Volailles de Bretagne</t>
  </si>
  <si>
    <t>Volailles de Houdan</t>
  </si>
  <si>
    <t>Volailles de Challans</t>
  </si>
  <si>
    <t>Volailles d'Alsace</t>
  </si>
  <si>
    <t>Volailles du Forez</t>
  </si>
  <si>
    <t>Volailles du Béarn</t>
  </si>
  <si>
    <t>Volailles de Cholet</t>
  </si>
  <si>
    <t>Volailles de Licques</t>
  </si>
  <si>
    <t>Volailles des Landes</t>
  </si>
  <si>
    <t>Volailles d'Auvergne</t>
  </si>
  <si>
    <t>Volailles du Velay</t>
  </si>
  <si>
    <t>Volailles du Val de Sèvres</t>
  </si>
  <si>
    <t>Volailles d'Ancenis</t>
  </si>
  <si>
    <t>Volailles de Janzé</t>
  </si>
  <si>
    <t>Volailles de Vendée</t>
  </si>
  <si>
    <t>Volailles de la Drôme</t>
  </si>
  <si>
    <t>Volailles du Gatinais</t>
  </si>
  <si>
    <t>Volailles du Berry</t>
  </si>
  <si>
    <t>Volailles de la Champagne</t>
  </si>
  <si>
    <t>Volailles du Languedoc</t>
  </si>
  <si>
    <t>Volailles du Lauragais</t>
  </si>
  <si>
    <t>Volailles de Gascogne</t>
  </si>
  <si>
    <t>Bœuf charolais du Bourbonnais</t>
  </si>
  <si>
    <t>Bœuf du Maine</t>
  </si>
  <si>
    <t>Veau du Limousin</t>
  </si>
  <si>
    <t>Bœuf de Chalosse</t>
  </si>
  <si>
    <t>Chasselas de Moissac</t>
  </si>
  <si>
    <t>Ail rose de Lautrec</t>
  </si>
  <si>
    <t>Mirabelles de Lorraine</t>
  </si>
  <si>
    <t>Pommes et poires de Savoie / Pommes de Savoie / Poires de Savoie</t>
  </si>
  <si>
    <t>Apples and Pears</t>
  </si>
  <si>
    <t>Poireaux de Créances</t>
  </si>
  <si>
    <t>Lentille verte du Puy</t>
  </si>
  <si>
    <t>Porc de la Sarthe</t>
  </si>
  <si>
    <t>Porc du Limousin</t>
  </si>
  <si>
    <t>Porc de Vendée</t>
  </si>
  <si>
    <t>Porc de Normandie</t>
  </si>
  <si>
    <t>Lentilles vertes du Berry</t>
  </si>
  <si>
    <t>Jambon de Bayonne</t>
  </si>
  <si>
    <t>Melon du Haut-Poitou</t>
  </si>
  <si>
    <t>Coco de Paimpol</t>
  </si>
  <si>
    <t>Mâche nantaise</t>
  </si>
  <si>
    <t>Riz de Camargue</t>
  </si>
  <si>
    <t>Haricot tarbais</t>
  </si>
  <si>
    <t>Taureau de Camargue</t>
  </si>
  <si>
    <t>Bull</t>
  </si>
  <si>
    <t>Jambon sec des Ardennes / Noix de Jambon sec des Ardennes</t>
  </si>
  <si>
    <t xml:space="preserve">Pork </t>
  </si>
  <si>
    <t>Pruneaux d'Agen</t>
  </si>
  <si>
    <t>Prunes</t>
  </si>
  <si>
    <t>Fraise du Périgord</t>
  </si>
  <si>
    <t>Anchois de Collioure</t>
  </si>
  <si>
    <t>Anchovies</t>
  </si>
  <si>
    <t>Melon du Quercy</t>
  </si>
  <si>
    <t>Asperge des sables des Landes</t>
  </si>
  <si>
    <t>Clémentine de Corse</t>
  </si>
  <si>
    <t>Pomme du Limousin</t>
  </si>
  <si>
    <t>Lingot du Nord</t>
  </si>
  <si>
    <t>Ail de la Drôme</t>
  </si>
  <si>
    <t>Oignon doux des Cévennes</t>
  </si>
  <si>
    <t>Sweet Onions</t>
  </si>
  <si>
    <t>Œufs de Loué</t>
  </si>
  <si>
    <t>Bœuf de Bazas</t>
  </si>
  <si>
    <t>Ail blanc de Lomagne</t>
  </si>
  <si>
    <t>Petit Épeautre de Haute Provence</t>
  </si>
  <si>
    <t>Cerals</t>
  </si>
  <si>
    <t>Kiwi de l'Adour</t>
  </si>
  <si>
    <t>Farine de Petit Épeautre de Haute Provence</t>
  </si>
  <si>
    <t>Pommes des Alpes de Haute Durance</t>
  </si>
  <si>
    <t>Pintadeau de la Drôme</t>
  </si>
  <si>
    <t>Farine de blé noir de Bretagne / Farine de blé noir de Bretagne - Gwinizh du Breizh</t>
  </si>
  <si>
    <t>Buckwheat Flour</t>
  </si>
  <si>
    <t>Génisse Fleur d'Aubrac</t>
  </si>
  <si>
    <t>Porc de Franche-Comté</t>
  </si>
  <si>
    <t>Jambon de l'Ardèche</t>
  </si>
  <si>
    <t>Maine-Anjou</t>
  </si>
  <si>
    <t>Calf</t>
  </si>
  <si>
    <t>Oie d'Anjou</t>
  </si>
  <si>
    <t>Boeuf de Vendée</t>
  </si>
  <si>
    <t>Porc d'Auvergne</t>
  </si>
  <si>
    <t>Figue de Solliès</t>
  </si>
  <si>
    <t>Melon de Guadeloupe</t>
  </si>
  <si>
    <t>Porc du Sud-Ouest</t>
  </si>
  <si>
    <t>Fin Gras / Fin Gras du Mézenc</t>
  </si>
  <si>
    <t>Ail fumé d'Arleux</t>
  </si>
  <si>
    <t>Saucisse de Montbéliard</t>
  </si>
  <si>
    <t>Sausages</t>
  </si>
  <si>
    <t>Fraises de Nîmes</t>
  </si>
  <si>
    <t>Oignon de Roscoff</t>
  </si>
  <si>
    <t>Poulet des Cévennes / Chapon des Cévennes</t>
  </si>
  <si>
    <t>Jambon sec de Corse / Jambon sec de Corse - Prisuttu</t>
  </si>
  <si>
    <t>Bœuf de Charolles</t>
  </si>
  <si>
    <t>Jambon de Vendée</t>
  </si>
  <si>
    <t>Pomelo de Corse</t>
  </si>
  <si>
    <t>Pomelo</t>
  </si>
  <si>
    <t>Artichaut du Roussillon</t>
  </si>
  <si>
    <t>Jambon de Lacaune</t>
  </si>
  <si>
    <t>Citron de Menton</t>
  </si>
  <si>
    <t>Echalote d'Anjou</t>
  </si>
  <si>
    <t>Asperges du Blayais</t>
  </si>
  <si>
    <t>Abricots rouges du Roussillon</t>
  </si>
  <si>
    <t>Jambon d'Auvergne</t>
  </si>
  <si>
    <t>Ternera de los Pirineos Catalanes / Vedella dels Pirineus Catalans / Vedell des Pyrénées Catalanes</t>
  </si>
  <si>
    <t>Poulet de l'Ardèche / Chapon de l'Ardèche</t>
  </si>
  <si>
    <t>Pintade de l'Ardèche</t>
  </si>
  <si>
    <t>Charolais de Bourgogne</t>
  </si>
  <si>
    <t>Ail violet de Cadours</t>
  </si>
  <si>
    <t>Jambon noir de Bigorre</t>
  </si>
  <si>
    <t>Porc noir de Bigorre</t>
  </si>
  <si>
    <t>Jambon du Kintoa</t>
  </si>
  <si>
    <t>Kiwi de Corse</t>
  </si>
  <si>
    <t>Haricot de Castelnaudary</t>
  </si>
  <si>
    <t>Cerise des coteaux du Ventoux</t>
  </si>
  <si>
    <t>Haricot de Soissons</t>
  </si>
  <si>
    <t>Poulet du Bourbonnais</t>
  </si>
  <si>
    <t>Abricot des Baronnies</t>
  </si>
  <si>
    <t>Cerises des coteaux du Ventoux</t>
  </si>
  <si>
    <t>https://www.inao.gouv.fr/content/download/3815/33665/version/1/file/CP_INAO_La_Cerise_des_Coteaux_du_Ventoux_reconnue_en_IGP.pdf</t>
  </si>
  <si>
    <t>https://info.agriculture.gouv.fr/gedei/site/bo-agri/document_administratif-29729369-815c-4bb5-b82d-7704406cc9dc/telechargement</t>
  </si>
  <si>
    <t>Melon de Cavaillon</t>
  </si>
  <si>
    <t>https://extranet.inao.gouv.fr/fichier/DU-MelonCavaillon-CN221006.pdf</t>
  </si>
  <si>
    <t>Mogette de Vendée</t>
  </si>
  <si>
    <t>https://extranet.inao.gouv.fr/fichier/PNODUMogettesdeVendeeIGP--2-.pdf</t>
  </si>
  <si>
    <t>Muscat du Ventoux</t>
  </si>
  <si>
    <t>G J</t>
  </si>
  <si>
    <t>https://info.agriculture.gouv.fr/gedei/site/bo-agri/document_administratif-a52ef180-16bd-421d-bd0a-d55dafe2d7ba/telechargement</t>
  </si>
  <si>
    <t>Bœuf traditionnel de race normande</t>
  </si>
  <si>
    <t xml:space="preserve"> J</t>
  </si>
  <si>
    <t>https://www.inao.gouv.fr/content/download/5278/44538/version/1/file/CP_INAO_STG-BoeufTradRaceNormande_240126.pdf</t>
  </si>
  <si>
    <t>Rosée des Pyrénées catalanes</t>
  </si>
  <si>
    <t>Dew</t>
  </si>
  <si>
    <t>https://www.inao.gouv.fr/show_texte/4276</t>
  </si>
  <si>
    <t>Veau d'Aveyron et du Ségala</t>
  </si>
  <si>
    <t>https://extranet.inao.gouv.fr/fichier/ODG-DEC-CNIGPLRSTG2007-64.pdf</t>
  </si>
  <si>
    <t>Poularde du Périgord</t>
  </si>
  <si>
    <t>https://www.inao.gouv.fr/Archives-des-actualites-de-l-INAO/L-IGP-pour-le-chapon-et-la-poularde-du-Perigord</t>
  </si>
  <si>
    <t>Poulet du Périgord</t>
  </si>
  <si>
    <t>https://www.inao.gouv.fr/Archives-des-actualites-de-l-INAO/Le-Poulet-du-Perigord-obtient-l-IGP</t>
  </si>
  <si>
    <t>Volailles du Gâtinais</t>
  </si>
  <si>
    <t>https://www.inao.gouv.fr/produit/3443</t>
  </si>
  <si>
    <t>Food Commodities</t>
  </si>
  <si>
    <t>Supply Chain Stages</t>
  </si>
  <si>
    <t xml:space="preserve">
Total</t>
  </si>
  <si>
    <t>Coverage</t>
  </si>
  <si>
    <t>Fruits 
and/or 
Vegetables</t>
  </si>
  <si>
    <t>Meat (poultry, bovine, pork)</t>
  </si>
  <si>
    <t>Primary 
Production</t>
  </si>
  <si>
    <t>Processing 
&amp; 
Manufacturing</t>
  </si>
  <si>
    <t>Retail
 &amp; 
Other Distribution</t>
  </si>
  <si>
    <t xml:space="preserve"> Food services</t>
  </si>
  <si>
    <t>Consumption</t>
  </si>
  <si>
    <t>Meat (Total)</t>
  </si>
  <si>
    <t>Total</t>
  </si>
  <si>
    <t>EU-wide</t>
  </si>
  <si>
    <t>Country-specific</t>
  </si>
  <si>
    <t>Public vs Private</t>
  </si>
  <si>
    <t>=SUMPRODUCT(
    --('Inventory - Public Private FMS'!$AQ$18:$AQ$1792 &lt;&gt; 1),
--(ISNUMBER(SEARCH("Household", 'Inventory - Public Private FMS'!$N$18:$N$1792)))
+ (ISNUMBER(SEARCH("All stages", 'Inventory - Public Private FMS'!$N$18:$N$1792))) &gt; 0))</t>
  </si>
  <si>
    <t>=SUMPRODUCT(
    --('Inventory - Public Private FMS'!$AQ$18:$AQ$1792 &lt;&gt; 1),
--(ISNUMBER(SEARCH("Public",'Inventory - Public Private FMS'!$L$18:$L$1792)))
*((ISNUMBER(SEARCH("Consumption",'Inventory - Public Private FMS'!$N$18:$N$1792)))
+ISNUMBER(SEARCH("All stages",'Inventory - Public Private FMS'!$N$18:$N$1792)))&gt;0))))</t>
  </si>
  <si>
    <t>=SUMPRODUCT(
    --('Inventory - Public Private FMS'!$AQ$18:$AQ$1792 &lt;&gt; 1),
--(ISNUMBER(SEARCH("Private",'Inventory - Public Private FMS'!$L$18:$L$1792)))
*((ISNUMBER(SEARCH("Consumption",'Inventory - Public Private FMS'!$N$18:$N$1792)))
+ISNUMBER(SEARCH("All stages",'Inventory - Public Private FMS'!$N$18:$N$1792)))&gt;0))))</t>
  </si>
  <si>
    <t>=SUM(P15:P16)</t>
  </si>
  <si>
    <t>Issuing body / organization</t>
  </si>
  <si>
    <t>=SUMPRODUCT(
    --('Inventory - Public Private FMS'!$AQ$18:$AQ$1792 &lt;&gt; 1),
--(ISNUMBER(SEARCH("EU",'Inventory - Public Private FMS'!$AP$18:$AP$1792)))
*((ISNUMBER(SEARCH("Consumption",'Inventory - Public Private FMS'!$N$18:$N$1792)))
+ISNUMBER(SEARCH("All stages",'Inventory - Public Private FMS'!$N$18:$N$1792)))&gt;0))))</t>
  </si>
  <si>
    <t>UNECE</t>
  </si>
  <si>
    <t>=SUMPRODUCT(
    --('Inventory - Public Private FMS'!$AQ$18:$AQ$1792 &lt;&gt; 1),
--(ISNUMBER(SEARCH("UNECE",'Inventory - Public Private FMS'!$AP$18:$AP$1792)))
*((ISNUMBER(SEARCH("Consumption",'Inventory - Public Private FMS'!$N$18:$N$1792)))
+ISNUMBER(SEARCH("All stages",'Inventory - Public Private FMS'!$N$18:$N$1792)))&gt;0))))</t>
  </si>
  <si>
    <t>OECD</t>
  </si>
  <si>
    <t>=SUMPRODUCT(
    --('Inventory - Public Private FMS'!$AQ$18:$AQ$1792 &lt;&gt; 1),
--(ISNUMBER(SEARCH("OECD",'Inventory - Public Private FMS'!$AP$18:$AP$1792)))
*((ISNUMBER(SEARCH("Consumption",'Inventory - Public Private FMS'!$N$18:$N$1792)))
+ISNUMBER(SEARCH("All stages",'Inventory - Public Private FMS'!$N$18:$N$1792)))&gt;0))))</t>
  </si>
  <si>
    <t>Codex Alimentarius</t>
  </si>
  <si>
    <t>=SUMPRODUCT(
    --('Inventory - Public Private FMS'!$AQ$18:$AQ$1792 &lt;&gt; 1),
--(ISNUMBER(SEARCH("Codex Alimentarius",'Inventory - Public Private FMS'!$AP$18:$AP$1792)))
*((ISNUMBER(SEARCH("Consumption",'Inventory - Public Private FMS'!$N$18:$N$1792)))
+ISNUMBER(SEARCH("All stages",'Inventory - Public Private FMS'!$N$18:$N$1792)))&gt;0))))</t>
  </si>
  <si>
    <t>PDO/PGI</t>
  </si>
  <si>
    <t>Mandatory vs Voluntary</t>
  </si>
  <si>
    <t>Mandatory</t>
  </si>
  <si>
    <t>=SUMPRODUCT(
    --('Inventory - Public Private FMS'!$AQ$18:$AQ$1792 &lt;&gt; 1),
--(ISNUMBER(SEARCH("Yes",'Inventory - Public Private FMS'!$X$18:$X$1792)))
*((ISNUMBER(SEARCH("Consumption",'Inventory - Public Private FMS'!$N$18:$N$1792)))
+ISNUMBER(SEARCH("All stages",'Inventory - Public Private FMS'!$N$18:$N$1792)))&gt;0))))</t>
  </si>
  <si>
    <t>Voluntary</t>
  </si>
  <si>
    <t>=SUMPRODUCT(
    --('Inventory - Public Private FMS'!$AQ$18:$AQ$1792 &lt;&gt; 1),
--(ISNUMBER(SEARCH("No",'Inventory - Public Private FMS'!$X$18:$X$1792)))
*((ISNUMBER(SEARCH("Consumption",'Inventory - Public Private FMS'!$N$18:$N$1792)))
+ISNUMBER(SEARCH("All stages",'Inventory - Public Private FMS'!$N$18:$N$1792)))&gt;0))))</t>
  </si>
  <si>
    <t>=SUM(P33:P34)</t>
  </si>
  <si>
    <t>Country
 Total</t>
  </si>
  <si>
    <t>Food services</t>
  </si>
  <si>
    <t>Check</t>
  </si>
  <si>
    <t>Republic of Cyprus</t>
  </si>
  <si>
    <t>Czech Republic</t>
  </si>
  <si>
    <t>Estonia</t>
  </si>
  <si>
    <t>Lithuania</t>
  </si>
  <si>
    <t>Luxembourg</t>
  </si>
  <si>
    <t>Slovakia</t>
  </si>
  <si>
    <t>Grand 
Total</t>
  </si>
  <si>
    <t>Grand Total + the EU standards</t>
  </si>
  <si>
    <t>Grand Total + the EU and other International standards</t>
  </si>
  <si>
    <t>This table does NOT include PDO/PGI or Labele Rouge</t>
  </si>
  <si>
    <t>the technical definitions</t>
  </si>
  <si>
    <t>classification criteria</t>
  </si>
  <si>
    <t>indication of the species, plant variety or animal race or the commercial type</t>
  </si>
  <si>
    <t>presentation, labelling, packaging, marking, year of harvesting</t>
  </si>
  <si>
    <t>criteria such as appearance, consistency, conformation, product characteristics and the percentage of water content</t>
  </si>
  <si>
    <t>specific substances used in production (i.e. quantitative content, purity, identification)</t>
  </si>
  <si>
    <t xml:space="preserve">the type of farming and production method </t>
  </si>
  <si>
    <t>the frequency of collection, delivery, preservation and handling, the conservation method and temperature, storage and transport</t>
  </si>
  <si>
    <t>the place of farming and/or origin</t>
  </si>
  <si>
    <t>restrictions as regards the use of certain substances and practices</t>
  </si>
  <si>
    <t>specific use</t>
  </si>
  <si>
    <t>the conditions governing the disposal, the holding, circulation and use of products.</t>
  </si>
  <si>
    <t>Public FMS applied in certain countries</t>
  </si>
  <si>
    <t>Private FMS</t>
  </si>
  <si>
    <t>Fruits and/or Vegetables</t>
  </si>
  <si>
    <t>Processing  &amp; Manufacturing</t>
  </si>
  <si>
    <t>Retail &amp; Other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</si>
</sst>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b/>
      <sz val="12"/>
      <color theme="1"/>
      <name val="Calibri"/>
      <family val="2"/>
      <scheme val="minor"/>
    </font>
    <font>
      <u/>
      <sz val="12"/>
      <color theme="10"/>
      <name val="Calibri"/>
      <family val="2"/>
      <scheme val="minor"/>
    </font>
    <font>
      <b/>
      <sz val="12"/>
      <name val="Calibri"/>
      <family val="2"/>
      <scheme val="minor"/>
    </font>
    <font>
      <b/>
      <u/>
      <sz val="12"/>
      <color rgb="FF0070C0"/>
      <name val="Calibri"/>
      <family val="2"/>
      <scheme val="minor"/>
    </font>
    <font>
      <i/>
      <sz val="20"/>
      <name val="Calibri"/>
      <family val="2"/>
      <scheme val="minor"/>
    </font>
    <font>
      <sz val="20"/>
      <name val="Calibri"/>
      <family val="2"/>
      <scheme val="minor"/>
    </font>
    <font>
      <u/>
      <sz val="20"/>
      <color rgb="FF0070C0"/>
      <name val="Calibri"/>
      <family val="2"/>
      <scheme val="minor"/>
    </font>
    <font>
      <sz val="12"/>
      <name val="Calibri"/>
      <family val="2"/>
      <scheme val="minor"/>
    </font>
    <font>
      <u/>
      <sz val="12"/>
      <color rgb="FF0070C0"/>
      <name val="Calibri"/>
      <family val="2"/>
      <scheme val="minor"/>
    </font>
    <font>
      <sz val="14"/>
      <name val="Calibri"/>
      <family val="2"/>
      <scheme val="minor"/>
    </font>
    <font>
      <u/>
      <sz val="14"/>
      <color rgb="FF0070C0"/>
      <name val="Calibri"/>
      <family val="2"/>
      <scheme val="minor"/>
    </font>
    <font>
      <sz val="14"/>
      <color theme="1"/>
      <name val="Calibri"/>
      <family val="2"/>
      <scheme val="minor"/>
    </font>
    <font>
      <u/>
      <sz val="14"/>
      <name val="Calibri"/>
      <family val="2"/>
      <scheme val="minor"/>
    </font>
    <font>
      <b/>
      <sz val="12"/>
      <color theme="1"/>
      <name val="Calibri (Body)"/>
    </font>
    <font>
      <sz val="12"/>
      <color theme="1"/>
      <name val="Calibri (Body)"/>
    </font>
    <font>
      <sz val="12"/>
      <color rgb="FF0070C0"/>
      <name val="Calibri (Body)"/>
    </font>
    <font>
      <sz val="12"/>
      <color rgb="FF0070C0"/>
      <name val="Calibri"/>
      <family val="2"/>
      <scheme val="minor"/>
    </font>
    <font>
      <u/>
      <sz val="12"/>
      <name val="Calibri"/>
      <family val="2"/>
      <scheme val="minor"/>
    </font>
    <font>
      <sz val="12"/>
      <color rgb="FF000000"/>
      <name val="Calibri"/>
      <family val="2"/>
      <scheme val="minor"/>
    </font>
    <font>
      <sz val="12"/>
      <color rgb="FF333333"/>
      <name val="Calibri"/>
      <family val="2"/>
      <scheme val="minor"/>
    </font>
    <font>
      <b/>
      <sz val="12"/>
      <color rgb="FFFF0000"/>
      <name val="Calibri (Body)"/>
    </font>
    <font>
      <b/>
      <sz val="20"/>
      <color theme="7" tint="-0.499984740745262"/>
      <name val="Calibri"/>
      <family val="2"/>
      <scheme val="minor"/>
    </font>
    <font>
      <b/>
      <sz val="16"/>
      <color theme="5" tint="-0.249977111117893"/>
      <name val="Calibri"/>
      <family val="2"/>
      <scheme val="minor"/>
    </font>
    <font>
      <b/>
      <sz val="14"/>
      <color theme="1"/>
      <name val="Calibri"/>
      <family val="2"/>
      <scheme val="minor"/>
    </font>
    <font>
      <u/>
      <sz val="14"/>
      <color theme="10"/>
      <name val="Calibri"/>
      <family val="2"/>
      <scheme val="minor"/>
    </font>
    <font>
      <b/>
      <sz val="16"/>
      <color theme="5"/>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sz val="12"/>
      <color theme="5" tint="-0.249977111117893"/>
      <name val="Calibri"/>
      <family val="2"/>
      <scheme val="minor"/>
    </font>
    <font>
      <b/>
      <u/>
      <sz val="20"/>
      <color theme="7" tint="-0.499984740745262"/>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BF8F00"/>
        <bgColor indexed="64"/>
      </patternFill>
    </fill>
    <fill>
      <patternFill patternType="solid">
        <fgColor rgb="FFFFF2CC"/>
        <bgColor rgb="FF000000"/>
      </patternFill>
    </fill>
    <fill>
      <patternFill patternType="solid">
        <fgColor theme="7" tint="0.79998168889431442"/>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2" fillId="0" borderId="0" applyNumberFormat="0" applyFill="0" applyBorder="0" applyAlignment="0" applyProtection="0"/>
    <xf numFmtId="9" fontId="27" fillId="0" borderId="0" applyFont="0" applyFill="0" applyBorder="0" applyAlignment="0" applyProtection="0"/>
  </cellStyleXfs>
  <cellXfs count="321">
    <xf numFmtId="0" fontId="0" fillId="0" borderId="0" xfId="0"/>
    <xf numFmtId="0" fontId="3" fillId="0" borderId="1" xfId="0" applyFont="1" applyBorder="1"/>
    <xf numFmtId="0" fontId="3" fillId="0" borderId="1" xfId="0" applyFont="1" applyBorder="1" applyAlignment="1">
      <alignment wrapText="1"/>
    </xf>
    <xf numFmtId="0" fontId="3" fillId="0" borderId="2" xfId="0" applyFont="1" applyBorder="1"/>
    <xf numFmtId="0" fontId="3" fillId="0" borderId="1" xfId="0" applyFont="1" applyBorder="1" applyAlignment="1">
      <alignment horizontal="left" wrapText="1"/>
    </xf>
    <xf numFmtId="0" fontId="4" fillId="0" borderId="1" xfId="0" applyFont="1" applyBorder="1" applyAlignment="1">
      <alignment wrapText="1"/>
    </xf>
    <xf numFmtId="0" fontId="3" fillId="0" borderId="1" xfId="0" applyFont="1" applyBorder="1" applyAlignment="1">
      <alignment vertical="top" wrapText="1"/>
    </xf>
    <xf numFmtId="0" fontId="3" fillId="0" borderId="1" xfId="0" applyFont="1" applyBorder="1" applyAlignment="1">
      <alignment horizontal="left"/>
    </xf>
    <xf numFmtId="0" fontId="3" fillId="0" borderId="1" xfId="0" applyFont="1" applyBorder="1" applyAlignment="1">
      <alignment vertical="center" wrapText="1"/>
    </xf>
    <xf numFmtId="0" fontId="3" fillId="0" borderId="1" xfId="0" applyFont="1" applyBorder="1" applyAlignment="1">
      <alignment vertical="center"/>
    </xf>
    <xf numFmtId="0" fontId="5" fillId="0" borderId="1" xfId="0" applyFont="1" applyBorder="1"/>
    <xf numFmtId="0" fontId="6" fillId="0" borderId="1" xfId="0" applyFont="1" applyBorder="1" applyAlignment="1">
      <alignment wrapText="1"/>
    </xf>
    <xf numFmtId="0" fontId="6" fillId="0" borderId="2" xfId="0" applyFont="1" applyBorder="1"/>
    <xf numFmtId="0" fontId="6" fillId="0" borderId="1" xfId="0" applyFont="1" applyBorder="1" applyAlignment="1">
      <alignment horizontal="left" wrapText="1"/>
    </xf>
    <xf numFmtId="0" fontId="6" fillId="0" borderId="1" xfId="0" applyFont="1" applyBorder="1"/>
    <xf numFmtId="0" fontId="7" fillId="0" borderId="1"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horizontal="left"/>
    </xf>
    <xf numFmtId="0" fontId="6" fillId="0" borderId="1" xfId="0" applyFont="1" applyBorder="1" applyAlignment="1">
      <alignment vertical="center" wrapText="1"/>
    </xf>
    <xf numFmtId="0" fontId="6" fillId="0" borderId="1" xfId="0" applyFont="1" applyBorder="1" applyAlignment="1">
      <alignment vertical="center"/>
    </xf>
    <xf numFmtId="0" fontId="8" fillId="0" borderId="1" xfId="0" applyFont="1" applyBorder="1"/>
    <xf numFmtId="0" fontId="8" fillId="0" borderId="1" xfId="0" applyFont="1" applyBorder="1" applyAlignment="1">
      <alignment wrapText="1"/>
    </xf>
    <xf numFmtId="0" fontId="8" fillId="0" borderId="2" xfId="0" applyFont="1" applyBorder="1"/>
    <xf numFmtId="0" fontId="8" fillId="0" borderId="1" xfId="0" applyFont="1" applyBorder="1" applyAlignment="1">
      <alignment horizontal="left" wrapText="1"/>
    </xf>
    <xf numFmtId="0" fontId="9" fillId="0" borderId="1" xfId="0" applyFont="1" applyBorder="1" applyAlignment="1">
      <alignment wrapText="1"/>
    </xf>
    <xf numFmtId="0" fontId="8" fillId="0" borderId="1" xfId="0" applyFont="1" applyBorder="1" applyAlignment="1">
      <alignment vertical="top" wrapText="1"/>
    </xf>
    <xf numFmtId="0" fontId="8" fillId="0" borderId="1" xfId="0" applyFont="1" applyBorder="1" applyAlignment="1">
      <alignment horizontal="left"/>
    </xf>
    <xf numFmtId="0" fontId="8" fillId="0" borderId="1" xfId="0" applyFont="1" applyBorder="1" applyAlignment="1">
      <alignment vertical="center" wrapText="1"/>
    </xf>
    <xf numFmtId="0" fontId="8" fillId="0" borderId="1" xfId="0" applyFont="1" applyBorder="1" applyAlignment="1">
      <alignment vertical="center"/>
    </xf>
    <xf numFmtId="0" fontId="10" fillId="2" borderId="1" xfId="0" applyFont="1" applyFill="1" applyBorder="1"/>
    <xf numFmtId="0" fontId="10" fillId="2" borderId="1" xfId="0" applyFont="1" applyFill="1" applyBorder="1" applyAlignment="1">
      <alignment wrapText="1"/>
    </xf>
    <xf numFmtId="0" fontId="10" fillId="0" borderId="2" xfId="0" applyFont="1" applyBorder="1"/>
    <xf numFmtId="0" fontId="10" fillId="0" borderId="1" xfId="0" applyFont="1" applyBorder="1" applyAlignment="1">
      <alignment wrapText="1"/>
    </xf>
    <xf numFmtId="0" fontId="10" fillId="0" borderId="1" xfId="0" applyFont="1" applyBorder="1" applyAlignment="1">
      <alignment horizontal="left" wrapText="1"/>
    </xf>
    <xf numFmtId="0" fontId="10" fillId="0" borderId="1" xfId="0" applyFont="1" applyBorder="1"/>
    <xf numFmtId="0" fontId="11"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horizontal="left"/>
    </xf>
    <xf numFmtId="0" fontId="10" fillId="0" borderId="1" xfId="0" applyFont="1" applyBorder="1" applyAlignment="1">
      <alignment vertical="center" wrapText="1"/>
    </xf>
    <xf numFmtId="0" fontId="10" fillId="0" borderId="1" xfId="0" applyFont="1" applyBorder="1" applyAlignment="1">
      <alignment vertical="center"/>
    </xf>
    <xf numFmtId="0" fontId="10" fillId="3" borderId="1" xfId="0" applyFont="1" applyFill="1" applyBorder="1"/>
    <xf numFmtId="0" fontId="12" fillId="3"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8" fillId="4" borderId="2" xfId="0" applyFont="1" applyFill="1" applyBorder="1"/>
    <xf numFmtId="0" fontId="8" fillId="4" borderId="1" xfId="0" applyFont="1" applyFill="1" applyBorder="1" applyAlignment="1">
      <alignment horizontal="left" wrapText="1"/>
    </xf>
    <xf numFmtId="0" fontId="9" fillId="4" borderId="1" xfId="0" applyFont="1" applyFill="1" applyBorder="1" applyAlignment="1">
      <alignment wrapText="1"/>
    </xf>
    <xf numFmtId="0" fontId="8" fillId="4" borderId="1" xfId="0" applyFont="1" applyFill="1" applyBorder="1" applyAlignment="1">
      <alignment vertical="top" wrapText="1"/>
    </xf>
    <xf numFmtId="0" fontId="8" fillId="4" borderId="1" xfId="0" applyFont="1" applyFill="1" applyBorder="1" applyAlignment="1">
      <alignment horizontal="left"/>
    </xf>
    <xf numFmtId="0" fontId="8" fillId="4" borderId="1" xfId="0" applyFont="1" applyFill="1" applyBorder="1" applyAlignment="1">
      <alignment vertical="center" wrapText="1"/>
    </xf>
    <xf numFmtId="0" fontId="8" fillId="4"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vertical="center"/>
    </xf>
    <xf numFmtId="0" fontId="14" fillId="0" borderId="1" xfId="0" applyFont="1" applyBorder="1" applyAlignment="1">
      <alignment horizontal="center" vertical="center" wrapText="1"/>
    </xf>
    <xf numFmtId="0" fontId="8" fillId="0" borderId="1" xfId="0" applyFont="1" applyBorder="1" applyAlignment="1">
      <alignment horizontal="center" vertical="top"/>
    </xf>
    <xf numFmtId="0" fontId="15" fillId="0" borderId="1" xfId="0" applyFont="1" applyBorder="1" applyAlignment="1">
      <alignment wrapText="1"/>
    </xf>
    <xf numFmtId="0" fontId="8" fillId="0" borderId="1" xfId="0" applyFont="1" applyBorder="1" applyAlignment="1">
      <alignment horizontal="center"/>
    </xf>
    <xf numFmtId="0" fontId="9" fillId="0" borderId="1" xfId="1" applyFont="1" applyBorder="1" applyAlignment="1">
      <alignment wrapText="1"/>
    </xf>
    <xf numFmtId="0" fontId="8" fillId="0" borderId="1" xfId="1" applyFont="1" applyFill="1" applyBorder="1" applyAlignment="1">
      <alignment vertical="top" wrapText="1"/>
    </xf>
    <xf numFmtId="0" fontId="8" fillId="0" borderId="1" xfId="0" applyFont="1" applyBorder="1" applyAlignment="1">
      <alignment vertical="top"/>
    </xf>
    <xf numFmtId="0" fontId="8" fillId="2" borderId="1" xfId="0" applyFont="1" applyFill="1" applyBorder="1" applyAlignment="1">
      <alignment wrapText="1"/>
    </xf>
    <xf numFmtId="0" fontId="8" fillId="2" borderId="1" xfId="0" applyFont="1" applyFill="1" applyBorder="1"/>
    <xf numFmtId="0" fontId="8" fillId="2" borderId="1" xfId="0" applyFont="1" applyFill="1" applyBorder="1" applyAlignment="1">
      <alignment horizontal="left" wrapText="1"/>
    </xf>
    <xf numFmtId="0" fontId="8" fillId="3" borderId="1" xfId="0" applyFont="1" applyFill="1" applyBorder="1" applyAlignment="1">
      <alignment wrapText="1"/>
    </xf>
    <xf numFmtId="0" fontId="9" fillId="2" borderId="1" xfId="1" applyFont="1" applyFill="1" applyBorder="1" applyAlignment="1">
      <alignment wrapText="1"/>
    </xf>
    <xf numFmtId="0" fontId="8" fillId="2" borderId="1" xfId="0" applyFont="1" applyFill="1" applyBorder="1" applyAlignment="1">
      <alignment vertical="top" wrapText="1"/>
    </xf>
    <xf numFmtId="0" fontId="8" fillId="2" borderId="1" xfId="0" applyFont="1" applyFill="1" applyBorder="1" applyAlignment="1">
      <alignment horizontal="left"/>
    </xf>
    <xf numFmtId="0" fontId="8" fillId="2" borderId="1" xfId="0" applyFont="1" applyFill="1" applyBorder="1" applyAlignment="1">
      <alignment vertical="center"/>
    </xf>
    <xf numFmtId="0" fontId="8" fillId="2" borderId="1" xfId="0" applyFont="1" applyFill="1" applyBorder="1" applyAlignment="1">
      <alignment vertical="top"/>
    </xf>
    <xf numFmtId="0" fontId="17" fillId="2" borderId="1" xfId="0" applyFont="1" applyFill="1" applyBorder="1" applyAlignment="1">
      <alignment wrapText="1"/>
    </xf>
    <xf numFmtId="0" fontId="18" fillId="0" borderId="1" xfId="1" applyFont="1" applyFill="1" applyBorder="1" applyAlignment="1">
      <alignment horizontal="left"/>
    </xf>
    <xf numFmtId="0" fontId="8" fillId="0" borderId="1" xfId="1" applyFont="1" applyFill="1" applyBorder="1" applyAlignment="1">
      <alignment horizontal="left" wrapText="1"/>
    </xf>
    <xf numFmtId="0" fontId="17" fillId="5" borderId="1" xfId="0" applyFont="1" applyFill="1" applyBorder="1" applyAlignment="1">
      <alignment wrapText="1"/>
    </xf>
    <xf numFmtId="0" fontId="8" fillId="2" borderId="1" xfId="0" applyFont="1" applyFill="1" applyBorder="1" applyAlignment="1">
      <alignment vertical="center" wrapText="1"/>
    </xf>
    <xf numFmtId="0" fontId="2" fillId="2" borderId="1" xfId="1" applyFill="1" applyBorder="1" applyAlignment="1">
      <alignment wrapText="1"/>
    </xf>
    <xf numFmtId="0" fontId="9" fillId="0" borderId="1" xfId="1" applyFont="1" applyFill="1" applyBorder="1" applyAlignment="1">
      <alignment wrapText="1"/>
    </xf>
    <xf numFmtId="0" fontId="18" fillId="0" borderId="1" xfId="0" applyFont="1" applyBorder="1" applyAlignment="1">
      <alignment vertical="top" wrapText="1"/>
    </xf>
    <xf numFmtId="0" fontId="0" fillId="0" borderId="3" xfId="0" applyBorder="1" applyAlignment="1">
      <alignment horizontal="left"/>
    </xf>
    <xf numFmtId="0" fontId="0" fillId="0" borderId="3" xfId="0" applyBorder="1" applyAlignment="1">
      <alignment horizontal="left" wrapText="1"/>
    </xf>
    <xf numFmtId="0" fontId="9" fillId="0" borderId="3" xfId="1" applyFont="1" applyBorder="1" applyAlignment="1">
      <alignment horizontal="left" wrapText="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xf>
    <xf numFmtId="0" fontId="0" fillId="0" borderId="0" xfId="0" applyAlignment="1">
      <alignment horizontal="left"/>
    </xf>
    <xf numFmtId="0" fontId="18" fillId="0" borderId="1" xfId="0" applyFont="1" applyBorder="1" applyAlignment="1">
      <alignment vertical="top"/>
    </xf>
    <xf numFmtId="0" fontId="8" fillId="2" borderId="1" xfId="1" applyFont="1" applyFill="1" applyBorder="1" applyAlignment="1">
      <alignment wrapText="1"/>
    </xf>
    <xf numFmtId="0" fontId="18" fillId="2" borderId="1" xfId="0" applyFont="1" applyFill="1" applyBorder="1" applyAlignment="1">
      <alignment vertical="top" wrapText="1"/>
    </xf>
    <xf numFmtId="0" fontId="18" fillId="2" borderId="1" xfId="0" applyFont="1" applyFill="1" applyBorder="1" applyAlignment="1">
      <alignment vertical="top"/>
    </xf>
    <xf numFmtId="0" fontId="2" fillId="0" borderId="1" xfId="1" applyFill="1" applyBorder="1" applyAlignment="1">
      <alignment wrapText="1"/>
    </xf>
    <xf numFmtId="0" fontId="8" fillId="5" borderId="1" xfId="0" applyFont="1" applyFill="1" applyBorder="1" applyAlignment="1">
      <alignment horizontal="left" wrapText="1"/>
    </xf>
    <xf numFmtId="0" fontId="8" fillId="2" borderId="1" xfId="0" quotePrefix="1" applyFont="1" applyFill="1" applyBorder="1" applyAlignment="1">
      <alignment wrapText="1"/>
    </xf>
    <xf numFmtId="0" fontId="9" fillId="2" borderId="1" xfId="0" applyFont="1" applyFill="1" applyBorder="1" applyAlignment="1">
      <alignment wrapText="1"/>
    </xf>
    <xf numFmtId="0" fontId="2" fillId="0" borderId="1" xfId="1" applyBorder="1" applyAlignment="1">
      <alignment wrapText="1"/>
    </xf>
    <xf numFmtId="0" fontId="16" fillId="0" borderId="1" xfId="0" applyFont="1" applyBorder="1" applyAlignment="1">
      <alignment wrapText="1"/>
    </xf>
    <xf numFmtId="0" fontId="0" fillId="0" borderId="1" xfId="0" applyBorder="1" applyAlignment="1">
      <alignment wrapText="1"/>
    </xf>
    <xf numFmtId="0" fontId="8" fillId="2" borderId="1" xfId="0" applyFont="1" applyFill="1" applyBorder="1" applyAlignment="1">
      <alignment horizontal="left" vertical="top"/>
    </xf>
    <xf numFmtId="0" fontId="8" fillId="2" borderId="1" xfId="0" applyFont="1" applyFill="1" applyBorder="1" applyAlignment="1">
      <alignment horizontal="center"/>
    </xf>
    <xf numFmtId="0" fontId="8" fillId="3" borderId="1" xfId="0" applyFont="1" applyFill="1" applyBorder="1" applyAlignment="1">
      <alignment horizontal="left" wrapText="1"/>
    </xf>
    <xf numFmtId="0" fontId="18" fillId="2" borderId="1" xfId="1" applyFont="1" applyFill="1" applyBorder="1" applyAlignment="1">
      <alignment vertical="top" wrapText="1"/>
    </xf>
    <xf numFmtId="0" fontId="18" fillId="2" borderId="1" xfId="1" applyFont="1" applyFill="1" applyBorder="1" applyAlignment="1">
      <alignment horizontal="left"/>
    </xf>
    <xf numFmtId="0" fontId="18" fillId="2" borderId="1" xfId="1" applyFont="1" applyFill="1" applyBorder="1" applyAlignment="1">
      <alignment vertical="center"/>
    </xf>
    <xf numFmtId="0" fontId="8" fillId="2" borderId="1" xfId="1" applyFont="1" applyFill="1" applyBorder="1" applyAlignment="1">
      <alignment horizontal="left" wrapText="1"/>
    </xf>
    <xf numFmtId="0" fontId="8" fillId="0" borderId="1" xfId="0" applyFont="1" applyBorder="1" applyAlignment="1">
      <alignment horizontal="left" vertical="top"/>
    </xf>
    <xf numFmtId="0" fontId="18" fillId="0" borderId="1" xfId="1" applyFont="1" applyFill="1" applyBorder="1" applyAlignment="1">
      <alignment vertical="top" wrapText="1"/>
    </xf>
    <xf numFmtId="0" fontId="18" fillId="0" borderId="1" xfId="1" applyFont="1" applyFill="1" applyBorder="1" applyAlignment="1">
      <alignment vertical="center"/>
    </xf>
    <xf numFmtId="0" fontId="0" fillId="0" borderId="1" xfId="0" applyBorder="1" applyAlignment="1">
      <alignment horizontal="left" wrapText="1"/>
    </xf>
    <xf numFmtId="0" fontId="8" fillId="0" borderId="1" xfId="1" applyFont="1" applyBorder="1" applyAlignment="1">
      <alignment wrapText="1"/>
    </xf>
    <xf numFmtId="0" fontId="2" fillId="5" borderId="1" xfId="1" applyFill="1" applyBorder="1" applyAlignment="1">
      <alignment wrapText="1"/>
    </xf>
    <xf numFmtId="0" fontId="0" fillId="2" borderId="1" xfId="0" applyFill="1" applyBorder="1" applyAlignment="1">
      <alignment horizontal="left" wrapText="1"/>
    </xf>
    <xf numFmtId="0" fontId="0" fillId="2" borderId="1" xfId="0" applyFill="1" applyBorder="1" applyAlignment="1">
      <alignment horizontal="left"/>
    </xf>
    <xf numFmtId="0" fontId="0" fillId="3" borderId="1" xfId="0" applyFill="1" applyBorder="1" applyAlignment="1">
      <alignment horizontal="left" wrapText="1"/>
    </xf>
    <xf numFmtId="0" fontId="9" fillId="2" borderId="1" xfId="1" applyFont="1" applyFill="1" applyBorder="1" applyAlignment="1">
      <alignment horizontal="left" wrapText="1"/>
    </xf>
    <xf numFmtId="0" fontId="0" fillId="2" borderId="1" xfId="0" applyFill="1" applyBorder="1" applyAlignment="1">
      <alignment horizontal="left" vertical="top" wrapText="1"/>
    </xf>
    <xf numFmtId="0" fontId="19" fillId="5" borderId="1" xfId="0" applyFont="1" applyFill="1" applyBorder="1" applyAlignment="1">
      <alignment horizontal="left" wrapText="1"/>
    </xf>
    <xf numFmtId="0" fontId="0" fillId="2" borderId="7" xfId="0" applyFill="1" applyBorder="1" applyAlignment="1">
      <alignment horizontal="left"/>
    </xf>
    <xf numFmtId="0" fontId="0" fillId="2" borderId="1" xfId="0" applyFill="1" applyBorder="1" applyAlignment="1">
      <alignment horizontal="left" vertical="top"/>
    </xf>
    <xf numFmtId="0" fontId="0" fillId="0" borderId="5"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1" xfId="0" applyBorder="1" applyAlignment="1">
      <alignment horizontal="left" vertical="top" wrapText="1"/>
    </xf>
    <xf numFmtId="0" fontId="0" fillId="0" borderId="2" xfId="0" applyBorder="1" applyAlignment="1">
      <alignment horizontal="left" wrapText="1"/>
    </xf>
    <xf numFmtId="0" fontId="0" fillId="2" borderId="8" xfId="0" applyFill="1" applyBorder="1" applyAlignment="1">
      <alignment horizontal="left" wrapText="1"/>
    </xf>
    <xf numFmtId="0" fontId="0" fillId="2" borderId="1" xfId="0" applyFill="1" applyBorder="1" applyAlignment="1">
      <alignment horizontal="left" vertical="center"/>
    </xf>
    <xf numFmtId="0" fontId="9" fillId="0" borderId="1" xfId="1" applyFont="1" applyBorder="1" applyAlignment="1">
      <alignment horizontal="left" wrapText="1"/>
    </xf>
    <xf numFmtId="0" fontId="18" fillId="0" borderId="2" xfId="1" applyFont="1" applyBorder="1" applyAlignment="1"/>
    <xf numFmtId="0" fontId="0" fillId="0" borderId="1" xfId="0" applyBorder="1"/>
    <xf numFmtId="0" fontId="9" fillId="0" borderId="8" xfId="1" applyFont="1" applyBorder="1" applyAlignment="1">
      <alignment wrapText="1"/>
    </xf>
    <xf numFmtId="0" fontId="8" fillId="0" borderId="8" xfId="0" applyFont="1" applyBorder="1" applyAlignment="1">
      <alignment wrapText="1"/>
    </xf>
    <xf numFmtId="0" fontId="8" fillId="0" borderId="8" xfId="0" applyFont="1" applyBorder="1"/>
    <xf numFmtId="0" fontId="8" fillId="0" borderId="8" xfId="0" applyFont="1" applyBorder="1" applyAlignment="1">
      <alignment horizontal="left" wrapText="1"/>
    </xf>
    <xf numFmtId="0" fontId="8" fillId="0" borderId="8" xfId="0" applyFont="1" applyBorder="1" applyAlignment="1">
      <alignment vertical="top" wrapText="1"/>
    </xf>
    <xf numFmtId="0" fontId="8" fillId="0" borderId="8" xfId="0" applyFont="1" applyBorder="1" applyAlignment="1">
      <alignment vertical="top"/>
    </xf>
    <xf numFmtId="0" fontId="8" fillId="0" borderId="8" xfId="0" applyFont="1" applyBorder="1" applyAlignment="1">
      <alignment horizontal="left"/>
    </xf>
    <xf numFmtId="0" fontId="0" fillId="0" borderId="0" xfId="0" applyAlignment="1">
      <alignment horizontal="left" wrapText="1"/>
    </xf>
    <xf numFmtId="0" fontId="15" fillId="0" borderId="0" xfId="0" applyFont="1" applyAlignment="1">
      <alignment horizontal="center"/>
    </xf>
    <xf numFmtId="0" fontId="15" fillId="0" borderId="1" xfId="0" applyFont="1" applyBorder="1"/>
    <xf numFmtId="0" fontId="8" fillId="0" borderId="2" xfId="0" applyFont="1" applyBorder="1" applyAlignment="1">
      <alignment horizontal="left"/>
    </xf>
    <xf numFmtId="0" fontId="0" fillId="0" borderId="8" xfId="0" applyBorder="1"/>
    <xf numFmtId="0" fontId="15" fillId="0" borderId="0" xfId="0" applyFont="1"/>
    <xf numFmtId="0" fontId="8" fillId="0" borderId="2" xfId="0" applyFont="1" applyBorder="1" applyAlignment="1">
      <alignment horizontal="left" wrapText="1"/>
    </xf>
    <xf numFmtId="0" fontId="8" fillId="0" borderId="10" xfId="0" applyFont="1" applyBorder="1" applyAlignment="1">
      <alignment horizontal="left"/>
    </xf>
    <xf numFmtId="0" fontId="0" fillId="0" borderId="8" xfId="0" applyBorder="1" applyAlignment="1">
      <alignment wrapText="1"/>
    </xf>
    <xf numFmtId="0" fontId="15" fillId="0" borderId="8" xfId="0" applyFont="1" applyBorder="1"/>
    <xf numFmtId="0" fontId="15" fillId="0" borderId="8" xfId="0" applyFont="1" applyBorder="1" applyAlignment="1">
      <alignment wrapText="1"/>
    </xf>
    <xf numFmtId="0" fontId="8" fillId="0" borderId="11" xfId="0" applyFont="1" applyBorder="1" applyAlignment="1">
      <alignment horizontal="left" wrapText="1"/>
    </xf>
    <xf numFmtId="0" fontId="0" fillId="0" borderId="8" xfId="0" applyBorder="1" applyAlignment="1">
      <alignment horizontal="left" wrapText="1"/>
    </xf>
    <xf numFmtId="0" fontId="8" fillId="0" borderId="6" xfId="0" applyFont="1" applyBorder="1" applyAlignment="1">
      <alignment horizontal="left"/>
    </xf>
    <xf numFmtId="0" fontId="0" fillId="0" borderId="8" xfId="0" applyBorder="1" applyAlignment="1">
      <alignment horizontal="left"/>
    </xf>
    <xf numFmtId="0" fontId="8" fillId="0" borderId="12" xfId="0" applyFont="1" applyBorder="1" applyAlignment="1">
      <alignment horizontal="left"/>
    </xf>
    <xf numFmtId="0" fontId="8" fillId="0" borderId="7" xfId="0" applyFont="1" applyBorder="1" applyAlignment="1">
      <alignment horizontal="left"/>
    </xf>
    <xf numFmtId="0" fontId="8" fillId="0" borderId="12" xfId="0" applyFont="1" applyBorder="1" applyAlignment="1">
      <alignment horizontal="left" wrapText="1"/>
    </xf>
    <xf numFmtId="0" fontId="8" fillId="0" borderId="5" xfId="0" applyFont="1" applyBorder="1" applyAlignment="1">
      <alignment horizontal="left"/>
    </xf>
    <xf numFmtId="0" fontId="8" fillId="0" borderId="7" xfId="0" applyFont="1" applyBorder="1" applyAlignment="1">
      <alignment horizontal="left" wrapText="1"/>
    </xf>
    <xf numFmtId="0" fontId="15" fillId="0" borderId="9" xfId="0" applyFont="1" applyBorder="1"/>
    <xf numFmtId="0" fontId="8" fillId="0" borderId="12" xfId="0" applyFont="1" applyBorder="1" applyAlignment="1">
      <alignment wrapText="1"/>
    </xf>
    <xf numFmtId="0" fontId="8" fillId="0" borderId="7" xfId="0" applyFont="1" applyBorder="1" applyAlignment="1">
      <alignment wrapText="1"/>
    </xf>
    <xf numFmtId="0" fontId="8" fillId="0" borderId="0" xfId="0" applyFont="1" applyAlignment="1">
      <alignment horizontal="left"/>
    </xf>
    <xf numFmtId="0" fontId="8" fillId="0" borderId="13" xfId="0" applyFont="1" applyBorder="1" applyAlignment="1">
      <alignment wrapText="1"/>
    </xf>
    <xf numFmtId="0" fontId="8" fillId="0" borderId="9" xfId="0" applyFont="1" applyBorder="1" applyAlignment="1">
      <alignment wrapText="1"/>
    </xf>
    <xf numFmtId="0" fontId="8" fillId="0" borderId="9" xfId="0" applyFont="1" applyBorder="1"/>
    <xf numFmtId="0" fontId="8" fillId="0" borderId="9" xfId="0" applyFont="1" applyBorder="1" applyAlignment="1">
      <alignment horizontal="left" wrapText="1"/>
    </xf>
    <xf numFmtId="0" fontId="8" fillId="0" borderId="9" xfId="0" applyFont="1" applyBorder="1" applyAlignment="1">
      <alignment vertical="top" wrapText="1"/>
    </xf>
    <xf numFmtId="0" fontId="8" fillId="0" borderId="9" xfId="0" applyFont="1" applyBorder="1" applyAlignment="1">
      <alignment vertical="top"/>
    </xf>
    <xf numFmtId="0" fontId="9" fillId="0" borderId="9" xfId="1" applyFont="1" applyBorder="1" applyAlignment="1">
      <alignment wrapText="1"/>
    </xf>
    <xf numFmtId="0" fontId="18" fillId="0" borderId="1" xfId="1" applyFont="1" applyBorder="1" applyAlignment="1"/>
    <xf numFmtId="0" fontId="0" fillId="0" borderId="1" xfId="0" applyBorder="1" applyAlignment="1">
      <alignment vertical="top" wrapText="1"/>
    </xf>
    <xf numFmtId="0" fontId="0" fillId="0" borderId="1" xfId="0" applyBorder="1" applyAlignment="1">
      <alignment vertical="center"/>
    </xf>
    <xf numFmtId="0" fontId="0" fillId="0" borderId="1" xfId="0" applyBorder="1" applyAlignment="1">
      <alignment vertical="top"/>
    </xf>
    <xf numFmtId="0" fontId="20" fillId="0" borderId="1" xfId="0" applyFont="1" applyBorder="1" applyAlignment="1">
      <alignment wrapText="1"/>
    </xf>
    <xf numFmtId="0" fontId="21" fillId="0" borderId="1" xfId="0" applyFont="1" applyBorder="1" applyAlignment="1">
      <alignment horizontal="center"/>
    </xf>
    <xf numFmtId="0" fontId="0" fillId="0" borderId="7" xfId="0" applyBorder="1"/>
    <xf numFmtId="0" fontId="0" fillId="0" borderId="1" xfId="0" applyBorder="1" applyAlignment="1">
      <alignment horizontal="center" wrapText="1"/>
    </xf>
    <xf numFmtId="0" fontId="0" fillId="0" borderId="8" xfId="0" applyBorder="1" applyAlignment="1">
      <alignment horizontal="center" wrapText="1"/>
    </xf>
    <xf numFmtId="0" fontId="9" fillId="0" borderId="8" xfId="1" applyFont="1" applyBorder="1" applyAlignment="1">
      <alignment horizontal="left" wrapText="1"/>
    </xf>
    <xf numFmtId="0" fontId="0" fillId="0" borderId="8" xfId="0" applyBorder="1" applyAlignment="1">
      <alignment vertical="top" wrapText="1"/>
    </xf>
    <xf numFmtId="0" fontId="0" fillId="0" borderId="8" xfId="0" applyBorder="1" applyAlignment="1">
      <alignment vertical="top"/>
    </xf>
    <xf numFmtId="0" fontId="0" fillId="0" borderId="13" xfId="0" applyBorder="1"/>
    <xf numFmtId="0" fontId="0" fillId="0" borderId="2" xfId="0" applyBorder="1" applyAlignment="1">
      <alignment horizontal="center" wrapText="1"/>
    </xf>
    <xf numFmtId="0" fontId="0" fillId="0" borderId="3" xfId="0" applyBorder="1"/>
    <xf numFmtId="0" fontId="0" fillId="0" borderId="3" xfId="0" applyBorder="1" applyAlignment="1">
      <alignment horizontal="center" wrapText="1"/>
    </xf>
    <xf numFmtId="0" fontId="0" fillId="0" borderId="3" xfId="0" applyBorder="1" applyAlignment="1">
      <alignment vertical="top" wrapText="1"/>
    </xf>
    <xf numFmtId="0" fontId="0" fillId="0" borderId="3" xfId="0" applyBorder="1" applyAlignment="1">
      <alignment vertical="top"/>
    </xf>
    <xf numFmtId="0" fontId="0" fillId="0" borderId="9" xfId="0" applyBorder="1" applyAlignment="1">
      <alignment horizontal="left" wrapText="1"/>
    </xf>
    <xf numFmtId="0" fontId="8" fillId="0" borderId="1" xfId="0" applyFont="1" applyBorder="1" applyAlignment="1">
      <alignment horizontal="center" vertical="top" wrapText="1"/>
    </xf>
    <xf numFmtId="0" fontId="18" fillId="0" borderId="1" xfId="0" applyFont="1" applyBorder="1" applyAlignment="1">
      <alignment horizontal="center" vertical="top" wrapText="1"/>
    </xf>
    <xf numFmtId="0" fontId="18" fillId="0" borderId="1" xfId="0" applyFont="1" applyBorder="1" applyAlignment="1">
      <alignment horizontal="center" vertical="top"/>
    </xf>
    <xf numFmtId="0" fontId="9" fillId="0" borderId="1" xfId="0" applyFont="1" applyBorder="1" applyAlignment="1">
      <alignment horizontal="left" wrapText="1"/>
    </xf>
    <xf numFmtId="0" fontId="22" fillId="0" borderId="0" xfId="0" applyFont="1"/>
    <xf numFmtId="0" fontId="23" fillId="0" borderId="0" xfId="0" applyFont="1"/>
    <xf numFmtId="0" fontId="12" fillId="0" borderId="0" xfId="0" applyFont="1" applyAlignment="1">
      <alignment vertical="top" wrapText="1"/>
    </xf>
    <xf numFmtId="0" fontId="25" fillId="0" borderId="0" xfId="1" applyFont="1" applyAlignment="1">
      <alignment vertical="top" wrapText="1"/>
    </xf>
    <xf numFmtId="0" fontId="12" fillId="0" borderId="0" xfId="0" applyFont="1"/>
    <xf numFmtId="0" fontId="12" fillId="0" borderId="0" xfId="0" applyFont="1" applyAlignment="1">
      <alignment wrapText="1"/>
    </xf>
    <xf numFmtId="0" fontId="0" fillId="0" borderId="0" xfId="0" applyAlignment="1">
      <alignment vertical="top"/>
    </xf>
    <xf numFmtId="0" fontId="12" fillId="0" borderId="0" xfId="0" applyFont="1" applyAlignment="1">
      <alignment vertical="top"/>
    </xf>
    <xf numFmtId="0" fontId="26" fillId="0" borderId="0" xfId="0" applyFont="1"/>
    <xf numFmtId="0" fontId="24" fillId="0" borderId="0" xfId="0" applyFont="1" applyAlignment="1">
      <alignment wrapText="1"/>
    </xf>
    <xf numFmtId="0" fontId="8" fillId="6" borderId="1" xfId="0" applyFont="1" applyFill="1" applyBorder="1" applyAlignment="1">
      <alignment horizontal="left"/>
    </xf>
    <xf numFmtId="0" fontId="0" fillId="0" borderId="4" xfId="0" applyBorder="1"/>
    <xf numFmtId="0" fontId="10" fillId="0" borderId="5" xfId="0" applyFont="1" applyBorder="1" applyAlignment="1">
      <alignment wrapText="1"/>
    </xf>
    <xf numFmtId="0" fontId="10" fillId="0" borderId="3" xfId="0" applyFont="1" applyBorder="1"/>
    <xf numFmtId="0" fontId="10" fillId="0" borderId="0" xfId="0" applyFont="1" applyAlignment="1">
      <alignment wrapText="1"/>
    </xf>
    <xf numFmtId="0" fontId="10" fillId="0" borderId="3" xfId="0" applyFont="1" applyBorder="1" applyAlignment="1">
      <alignment wrapText="1"/>
    </xf>
    <xf numFmtId="0" fontId="10" fillId="0" borderId="6" xfId="0" applyFont="1" applyBorder="1" applyAlignment="1">
      <alignment wrapText="1"/>
    </xf>
    <xf numFmtId="0" fontId="13" fillId="0" borderId="3" xfId="0" applyFont="1" applyBorder="1" applyAlignment="1">
      <alignment wrapText="1"/>
    </xf>
    <xf numFmtId="0" fontId="10" fillId="0" borderId="6" xfId="0" applyFont="1" applyBorder="1"/>
    <xf numFmtId="0" fontId="10" fillId="0" borderId="4" xfId="0" applyFont="1" applyBorder="1" applyAlignment="1">
      <alignment wrapText="1"/>
    </xf>
    <xf numFmtId="0" fontId="10" fillId="0" borderId="5" xfId="0" applyFont="1" applyBorder="1"/>
    <xf numFmtId="0" fontId="10" fillId="0" borderId="0" xfId="0" applyFont="1"/>
    <xf numFmtId="0" fontId="2" fillId="0" borderId="1" xfId="1" applyBorder="1" applyAlignment="1">
      <alignment horizontal="left" wrapText="1"/>
    </xf>
    <xf numFmtId="0" fontId="28"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9" borderId="1" xfId="0" applyFont="1" applyFill="1" applyBorder="1" applyAlignment="1">
      <alignment vertical="center"/>
    </xf>
    <xf numFmtId="0" fontId="1" fillId="9" borderId="1" xfId="0" quotePrefix="1" applyFont="1" applyFill="1" applyBorder="1" applyAlignment="1">
      <alignment horizontal="center" vertical="center"/>
    </xf>
    <xf numFmtId="0" fontId="0" fillId="0" borderId="0" xfId="0" applyAlignment="1">
      <alignment horizontal="center" vertical="center"/>
    </xf>
    <xf numFmtId="0" fontId="0" fillId="0" borderId="1" xfId="0" quotePrefix="1" applyBorder="1" applyAlignment="1">
      <alignment horizontal="center" vertical="center"/>
    </xf>
    <xf numFmtId="0" fontId="0" fillId="10" borderId="1" xfId="0" quotePrefix="1" applyFill="1" applyBorder="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0" fontId="0" fillId="8" borderId="9" xfId="0" applyFill="1" applyBorder="1" applyAlignment="1">
      <alignment wrapText="1"/>
    </xf>
    <xf numFmtId="0" fontId="1" fillId="0" borderId="8" xfId="0" applyFont="1" applyBorder="1" applyAlignment="1">
      <alignment horizontal="center" vertical="center" wrapText="1"/>
    </xf>
    <xf numFmtId="0" fontId="0" fillId="0" borderId="0" xfId="0" applyAlignment="1">
      <alignment horizontal="center" vertical="center" wrapText="1"/>
    </xf>
    <xf numFmtId="0" fontId="0" fillId="8" borderId="8" xfId="0" applyFill="1" applyBorder="1"/>
    <xf numFmtId="0" fontId="0" fillId="8" borderId="9" xfId="0" applyFill="1" applyBorder="1"/>
    <xf numFmtId="0" fontId="0" fillId="0" borderId="0" xfId="0" quotePrefix="1" applyAlignment="1">
      <alignment horizontal="center"/>
    </xf>
    <xf numFmtId="0" fontId="1" fillId="0" borderId="1" xfId="0" applyFont="1" applyBorder="1" applyAlignment="1">
      <alignment vertical="center"/>
    </xf>
    <xf numFmtId="0" fontId="0" fillId="8" borderId="9" xfId="0" applyFill="1" applyBorder="1" applyAlignment="1">
      <alignment horizontal="center"/>
    </xf>
    <xf numFmtId="0" fontId="1" fillId="8" borderId="3" xfId="0" applyFont="1" applyFill="1" applyBorder="1" applyAlignment="1">
      <alignment horizontal="center"/>
    </xf>
    <xf numFmtId="0" fontId="1" fillId="8" borderId="3" xfId="0" applyFont="1" applyFill="1" applyBorder="1"/>
    <xf numFmtId="0" fontId="1" fillId="8" borderId="3" xfId="0" applyFont="1" applyFill="1" applyBorder="1" applyAlignment="1">
      <alignment horizontal="center" vertical="center" wrapText="1"/>
    </xf>
    <xf numFmtId="0" fontId="1" fillId="8" borderId="3" xfId="0" applyFont="1" applyFill="1" applyBorder="1" applyAlignment="1">
      <alignment horizontal="center" wrapText="1"/>
    </xf>
    <xf numFmtId="0" fontId="0" fillId="8" borderId="14" xfId="0" applyFill="1" applyBorder="1"/>
    <xf numFmtId="0" fontId="0" fillId="8" borderId="10" xfId="0" applyFill="1" applyBorder="1"/>
    <xf numFmtId="0" fontId="0" fillId="8" borderId="4" xfId="0" applyFill="1" applyBorder="1"/>
    <xf numFmtId="0" fontId="0" fillId="8" borderId="6" xfId="0" applyFill="1" applyBorder="1"/>
    <xf numFmtId="0" fontId="0" fillId="8" borderId="15" xfId="0" applyFill="1" applyBorder="1"/>
    <xf numFmtId="0" fontId="0" fillId="8" borderId="11" xfId="0" applyFill="1" applyBorder="1"/>
    <xf numFmtId="0" fontId="1" fillId="9" borderId="8" xfId="0" applyFont="1" applyFill="1" applyBorder="1" applyAlignment="1">
      <alignment horizontal="left"/>
    </xf>
    <xf numFmtId="0" fontId="1" fillId="9" borderId="11" xfId="0" applyFont="1" applyFill="1" applyBorder="1"/>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8" borderId="3" xfId="0" applyFont="1" applyFill="1" applyBorder="1" applyAlignment="1">
      <alignment horizontal="left"/>
    </xf>
    <xf numFmtId="0" fontId="0" fillId="0" borderId="2"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1" fillId="8" borderId="9" xfId="0" applyFont="1" applyFill="1" applyBorder="1" applyAlignment="1">
      <alignment horizontal="left"/>
    </xf>
    <xf numFmtId="0" fontId="0" fillId="11" borderId="2" xfId="0" applyFill="1" applyBorder="1"/>
    <xf numFmtId="0" fontId="1" fillId="9" borderId="2" xfId="0" applyFont="1" applyFill="1" applyBorder="1"/>
    <xf numFmtId="0" fontId="1" fillId="9" borderId="1" xfId="0" applyFont="1" applyFill="1" applyBorder="1" applyAlignment="1">
      <alignment horizontal="center" wrapText="1"/>
    </xf>
    <xf numFmtId="0" fontId="1" fillId="0" borderId="0" xfId="0" applyFont="1" applyAlignment="1">
      <alignment horizontal="center" wrapText="1"/>
    </xf>
    <xf numFmtId="0" fontId="1" fillId="9" borderId="1" xfId="0" applyFont="1" applyFill="1" applyBorder="1"/>
    <xf numFmtId="0" fontId="1" fillId="9" borderId="1" xfId="0" applyFont="1" applyFill="1" applyBorder="1" applyAlignment="1">
      <alignment horizontal="center"/>
    </xf>
    <xf numFmtId="0" fontId="0" fillId="0" borderId="1" xfId="0" applyBorder="1" applyAlignment="1">
      <alignment horizontal="center"/>
    </xf>
    <xf numFmtId="0" fontId="1" fillId="8" borderId="1" xfId="0" applyFont="1" applyFill="1" applyBorder="1" applyAlignment="1">
      <alignment horizontal="left"/>
    </xf>
    <xf numFmtId="0" fontId="2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0" xfId="0" applyFont="1"/>
    <xf numFmtId="0" fontId="0" fillId="0" borderId="0" xfId="0" applyAlignment="1">
      <alignment horizontal="center"/>
    </xf>
    <xf numFmtId="0" fontId="1" fillId="9" borderId="1" xfId="0" applyFont="1" applyFill="1" applyBorder="1" applyAlignment="1">
      <alignment horizontal="left" vertical="center"/>
    </xf>
    <xf numFmtId="0" fontId="1" fillId="0" borderId="1" xfId="0" applyFont="1" applyBorder="1"/>
    <xf numFmtId="0" fontId="0" fillId="9" borderId="1" xfId="0" applyFill="1" applyBorder="1" applyAlignment="1">
      <alignment horizontal="center" vertical="center"/>
    </xf>
    <xf numFmtId="0" fontId="1" fillId="0" borderId="1" xfId="0" applyFont="1" applyBorder="1" applyAlignment="1">
      <alignment vertical="center" wrapText="1"/>
    </xf>
    <xf numFmtId="0" fontId="0" fillId="9" borderId="1" xfId="0" applyFill="1" applyBorder="1" applyAlignment="1">
      <alignment horizontal="center" vertical="center" wrapText="1"/>
    </xf>
    <xf numFmtId="0" fontId="1" fillId="0" borderId="1" xfId="0" applyFont="1" applyBorder="1" applyAlignment="1">
      <alignment horizontal="left" vertical="center"/>
    </xf>
    <xf numFmtId="0" fontId="0" fillId="12" borderId="1" xfId="0" applyFill="1" applyBorder="1" applyAlignment="1">
      <alignment horizontal="center" vertical="center"/>
    </xf>
    <xf numFmtId="0" fontId="1" fillId="0" borderId="5" xfId="0" applyFont="1" applyBorder="1" applyAlignment="1">
      <alignment vertical="center"/>
    </xf>
    <xf numFmtId="0" fontId="0" fillId="12" borderId="1" xfId="0" applyFill="1" applyBorder="1" applyAlignment="1">
      <alignment horizontal="center" vertical="center" wrapText="1"/>
    </xf>
    <xf numFmtId="0" fontId="0" fillId="9" borderId="1" xfId="0" applyFill="1" applyBorder="1"/>
    <xf numFmtId="0" fontId="1" fillId="0" borderId="1" xfId="0" applyFont="1" applyBorder="1" applyAlignment="1">
      <alignment horizontal="left"/>
    </xf>
    <xf numFmtId="9" fontId="0" fillId="0" borderId="0" xfId="2" applyFont="1"/>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xf>
    <xf numFmtId="0" fontId="1" fillId="0" borderId="0" xfId="0" applyFont="1"/>
    <xf numFmtId="9" fontId="0" fillId="0" borderId="0" xfId="2" applyFont="1" applyFill="1" applyBorder="1"/>
    <xf numFmtId="0" fontId="1" fillId="8" borderId="1" xfId="0" applyFont="1" applyFill="1" applyBorder="1" applyAlignment="1">
      <alignment horizontal="center"/>
    </xf>
    <xf numFmtId="0" fontId="0" fillId="8" borderId="1" xfId="0" applyFill="1" applyBorder="1" applyAlignment="1">
      <alignment horizontal="center"/>
    </xf>
    <xf numFmtId="0" fontId="29" fillId="0" borderId="1" xfId="0" applyFont="1" applyBorder="1"/>
    <xf numFmtId="0" fontId="29" fillId="0" borderId="1" xfId="0" applyFont="1" applyBorder="1" applyAlignment="1">
      <alignment vertical="top" wrapText="1"/>
    </xf>
    <xf numFmtId="0" fontId="29" fillId="0" borderId="1" xfId="0" applyFont="1" applyBorder="1" applyAlignment="1">
      <alignment wrapText="1"/>
    </xf>
    <xf numFmtId="0" fontId="0" fillId="7" borderId="1" xfId="0" quotePrefix="1" applyFill="1" applyBorder="1" applyAlignment="1">
      <alignment horizontal="center" vertical="center"/>
    </xf>
    <xf numFmtId="0" fontId="0" fillId="0" borderId="0" xfId="0" applyAlignment="1">
      <alignment vertical="top" wrapText="1"/>
    </xf>
    <xf numFmtId="0" fontId="0" fillId="8" borderId="3" xfId="0" applyFill="1" applyBorder="1"/>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 xfId="0" quotePrefix="1" applyBorder="1" applyAlignment="1">
      <alignment horizontal="center" vertical="center" wrapText="1"/>
    </xf>
    <xf numFmtId="0" fontId="1" fillId="9" borderId="5" xfId="0" applyFont="1" applyFill="1" applyBorder="1" applyAlignment="1">
      <alignment horizontal="left" wrapText="1"/>
    </xf>
    <xf numFmtId="0" fontId="29" fillId="0" borderId="0" xfId="0" applyFont="1"/>
    <xf numFmtId="0" fontId="29" fillId="0" borderId="0" xfId="0" applyFont="1" applyAlignment="1">
      <alignment vertical="top" wrapText="1"/>
    </xf>
    <xf numFmtId="0" fontId="29" fillId="0" borderId="0" xfId="0" applyFont="1" applyAlignment="1">
      <alignment wrapText="1"/>
    </xf>
    <xf numFmtId="0" fontId="0" fillId="9" borderId="0" xfId="0" applyFill="1"/>
    <xf numFmtId="0" fontId="30" fillId="0" borderId="0" xfId="0" applyFont="1" applyAlignment="1">
      <alignment wrapText="1"/>
    </xf>
    <xf numFmtId="0" fontId="0" fillId="7" borderId="0" xfId="0" applyFill="1"/>
    <xf numFmtId="0" fontId="25" fillId="0" borderId="0" xfId="1" applyFont="1" applyAlignment="1">
      <alignment wrapText="1"/>
    </xf>
    <xf numFmtId="0" fontId="25" fillId="0" borderId="0" xfId="1" applyFont="1" applyAlignment="1">
      <alignment horizontal="left" wrapText="1"/>
    </xf>
    <xf numFmtId="0" fontId="23" fillId="3" borderId="0" xfId="0" applyFont="1" applyFill="1" applyAlignment="1">
      <alignment horizontal="center"/>
    </xf>
    <xf numFmtId="0" fontId="23" fillId="3" borderId="0" xfId="0" applyFont="1" applyFill="1" applyAlignment="1">
      <alignment horizontal="center" wrapText="1"/>
    </xf>
    <xf numFmtId="0" fontId="22" fillId="0" borderId="3" xfId="0" applyFont="1" applyBorder="1"/>
    <xf numFmtId="0" fontId="22" fillId="0" borderId="3" xfId="0" applyFont="1" applyBorder="1" applyAlignment="1">
      <alignment wrapText="1"/>
    </xf>
    <xf numFmtId="0" fontId="31" fillId="0" borderId="3" xfId="0" applyFont="1" applyBorder="1" applyAlignment="1">
      <alignment wrapText="1"/>
    </xf>
    <xf numFmtId="0" fontId="22" fillId="0" borderId="4" xfId="0" applyFont="1" applyBorder="1" applyAlignment="1">
      <alignment wrapText="1"/>
    </xf>
    <xf numFmtId="0" fontId="22" fillId="0" borderId="4" xfId="0" applyFont="1" applyBorder="1"/>
    <xf numFmtId="0" fontId="22" fillId="0" borderId="5" xfId="0" applyFont="1" applyBorder="1"/>
    <xf numFmtId="0" fontId="28"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8" fillId="4" borderId="1" xfId="0" applyFont="1" applyFill="1" applyBorder="1" applyAlignment="1">
      <alignment horizontal="center" vertical="center" wrapText="1"/>
    </xf>
    <xf numFmtId="0" fontId="1" fillId="0" borderId="2" xfId="0" applyFont="1" applyBorder="1" applyAlignment="1">
      <alignment horizontal="center" vertical="center"/>
    </xf>
  </cellXfs>
  <cellStyles count="3">
    <cellStyle name="Collegamento ipertestuale" xfId="1" builtinId="8"/>
    <cellStyle name="Normale" xfId="0" builtinId="0"/>
    <cellStyle name="Percentuale" xfId="2" builtinId="5"/>
  </cellStyles>
  <dxfs count="118">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
      <fill>
        <patternFill>
          <bgColor rgb="FFF76565"/>
        </patternFill>
      </fill>
    </dxf>
    <dxf>
      <fill>
        <patternFill>
          <bgColor rgb="FFF76565"/>
        </patternFill>
      </fill>
    </dxf>
    <dxf>
      <font>
        <color rgb="FF006100"/>
      </font>
      <fill>
        <patternFill>
          <bgColor rgb="FFC6EFCE"/>
        </patternFill>
      </fill>
    </dxf>
    <dxf>
      <fill>
        <patternFill>
          <bgColor rgb="FFF76565"/>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1" i="0" u="none" strike="noStrike" kern="1200" spc="0" baseline="0">
                <a:solidFill>
                  <a:sysClr val="windowText" lastClr="000000"/>
                </a:solidFill>
              </a:rPr>
              <a:t>Number of </a:t>
            </a:r>
            <a:r>
              <a:rPr lang="en-GB" sz="1400" b="1" i="0" u="sng" strike="noStrike" kern="1200" spc="0" baseline="0">
                <a:solidFill>
                  <a:sysClr val="windowText" lastClr="000000"/>
                </a:solidFill>
              </a:rPr>
              <a:t>Country Specific</a:t>
            </a:r>
            <a:r>
              <a:rPr lang="en-GB" sz="1400" b="1" i="0" u="none" strike="noStrike" kern="1200" spc="0" baseline="0">
                <a:solidFill>
                  <a:sysClr val="windowText" lastClr="000000"/>
                </a:solidFill>
              </a:rPr>
              <a:t> </a:t>
            </a:r>
            <a:r>
              <a:rPr lang="pl-PL" sz="1400" b="1" i="0" u="none" strike="noStrike" kern="1200" spc="0" baseline="0">
                <a:solidFill>
                  <a:sysClr val="windowText" lastClr="000000"/>
                </a:solidFill>
              </a:rPr>
              <a:t>Public and Private Standards per Country in the Inventory</a:t>
            </a:r>
            <a:endParaRPr lang="en-GB" sz="1400" b="1" i="0" u="none" strike="noStrike" kern="1200" spc="0" baseline="0">
              <a:solidFill>
                <a:sysClr val="windowText" lastClr="000000"/>
              </a:solidFill>
            </a:endParaRPr>
          </a:p>
        </c:rich>
      </c:tx>
      <c:layout>
        <c:manualLayout>
          <c:xMode val="edge"/>
          <c:yMode val="edge"/>
          <c:x val="0.27761570322348278"/>
          <c:y val="4.1221854723797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17936671278792E-2"/>
          <c:y val="9.8225404563832747E-2"/>
          <c:w val="0.94429581983545363"/>
          <c:h val="0.74162462434195597"/>
        </c:manualLayout>
      </c:layout>
      <c:barChart>
        <c:barDir val="col"/>
        <c:grouping val="clustered"/>
        <c:varyColors val="0"/>
        <c:ser>
          <c:idx val="1"/>
          <c:order val="1"/>
          <c:tx>
            <c:strRef>
              <c:f>Graphs!$D$22</c:f>
              <c:strCache>
                <c:ptCount val="1"/>
                <c:pt idx="0">
                  <c:v>Public</c:v>
                </c:pt>
              </c:strCache>
            </c:strRef>
          </c:tx>
          <c:spPr>
            <a:solidFill>
              <a:srgbClr val="BF8F00"/>
            </a:solidFill>
            <a:ln>
              <a:noFill/>
            </a:ln>
            <a:effectLst/>
          </c:spPr>
          <c:invertIfNegative val="0"/>
          <c:cat>
            <c:strRef>
              <c:f>Graphs!$B$23:$B$46</c:f>
              <c:strCache>
                <c:ptCount val="24"/>
                <c:pt idx="0">
                  <c:v>France</c:v>
                </c:pt>
                <c:pt idx="1">
                  <c:v>Italy</c:v>
                </c:pt>
                <c:pt idx="2">
                  <c:v>Spain</c:v>
                </c:pt>
                <c:pt idx="3">
                  <c:v>Bulgaria</c:v>
                </c:pt>
                <c:pt idx="4">
                  <c:v>Portugal</c:v>
                </c:pt>
                <c:pt idx="5">
                  <c:v>Germany</c:v>
                </c:pt>
                <c:pt idx="6">
                  <c:v>Greece</c:v>
                </c:pt>
                <c:pt idx="7">
                  <c:v>Belgium</c:v>
                </c:pt>
                <c:pt idx="8">
                  <c:v>Croatia</c:v>
                </c:pt>
                <c:pt idx="9">
                  <c:v>Slovenia</c:v>
                </c:pt>
                <c:pt idx="10">
                  <c:v>Hungary</c:v>
                </c:pt>
                <c:pt idx="11">
                  <c:v>Poland</c:v>
                </c:pt>
                <c:pt idx="12">
                  <c:v>Netherlands</c:v>
                </c:pt>
                <c:pt idx="13">
                  <c:v>Austria</c:v>
                </c:pt>
                <c:pt idx="14">
                  <c:v>Sweden</c:v>
                </c:pt>
                <c:pt idx="15">
                  <c:v>Ireland</c:v>
                </c:pt>
                <c:pt idx="16">
                  <c:v>Finland</c:v>
                </c:pt>
                <c:pt idx="17">
                  <c:v>Malta</c:v>
                </c:pt>
                <c:pt idx="18">
                  <c:v>Denmark</c:v>
                </c:pt>
                <c:pt idx="19">
                  <c:v>Latvia</c:v>
                </c:pt>
                <c:pt idx="20">
                  <c:v>Romania</c:v>
                </c:pt>
                <c:pt idx="21">
                  <c:v>Czech Republic</c:v>
                </c:pt>
                <c:pt idx="22">
                  <c:v>Republic of Cyprus</c:v>
                </c:pt>
                <c:pt idx="23">
                  <c:v>Luxembourg</c:v>
                </c:pt>
              </c:strCache>
            </c:strRef>
          </c:cat>
          <c:val>
            <c:numRef>
              <c:f>Graphs!$D$23:$D$46</c:f>
              <c:numCache>
                <c:formatCode>General</c:formatCode>
                <c:ptCount val="24"/>
                <c:pt idx="0">
                  <c:v>464</c:v>
                </c:pt>
                <c:pt idx="1">
                  <c:v>141</c:v>
                </c:pt>
                <c:pt idx="2">
                  <c:v>90</c:v>
                </c:pt>
                <c:pt idx="3">
                  <c:v>66</c:v>
                </c:pt>
                <c:pt idx="4">
                  <c:v>54</c:v>
                </c:pt>
                <c:pt idx="5">
                  <c:v>38</c:v>
                </c:pt>
                <c:pt idx="6">
                  <c:v>40</c:v>
                </c:pt>
                <c:pt idx="7">
                  <c:v>6</c:v>
                </c:pt>
                <c:pt idx="8">
                  <c:v>21</c:v>
                </c:pt>
                <c:pt idx="9">
                  <c:v>20</c:v>
                </c:pt>
                <c:pt idx="10">
                  <c:v>18</c:v>
                </c:pt>
                <c:pt idx="11">
                  <c:v>13</c:v>
                </c:pt>
                <c:pt idx="12">
                  <c:v>6</c:v>
                </c:pt>
                <c:pt idx="13">
                  <c:v>8</c:v>
                </c:pt>
                <c:pt idx="14">
                  <c:v>7</c:v>
                </c:pt>
                <c:pt idx="15">
                  <c:v>6</c:v>
                </c:pt>
                <c:pt idx="16">
                  <c:v>5</c:v>
                </c:pt>
                <c:pt idx="17">
                  <c:v>5</c:v>
                </c:pt>
                <c:pt idx="18">
                  <c:v>2</c:v>
                </c:pt>
                <c:pt idx="19">
                  <c:v>3</c:v>
                </c:pt>
                <c:pt idx="20">
                  <c:v>7</c:v>
                </c:pt>
                <c:pt idx="21">
                  <c:v>4</c:v>
                </c:pt>
                <c:pt idx="22">
                  <c:v>2</c:v>
                </c:pt>
                <c:pt idx="23">
                  <c:v>1</c:v>
                </c:pt>
              </c:numCache>
            </c:numRef>
          </c:val>
          <c:extLst>
            <c:ext xmlns:c16="http://schemas.microsoft.com/office/drawing/2014/chart" uri="{C3380CC4-5D6E-409C-BE32-E72D297353CC}">
              <c16:uniqueId val="{00000004-ED43-4590-92C5-1456CA081A08}"/>
            </c:ext>
          </c:extLst>
        </c:ser>
        <c:dLbls>
          <c:showLegendKey val="0"/>
          <c:showVal val="0"/>
          <c:showCatName val="0"/>
          <c:showSerName val="0"/>
          <c:showPercent val="0"/>
          <c:showBubbleSize val="0"/>
        </c:dLbls>
        <c:gapWidth val="70"/>
        <c:axId val="1323667711"/>
        <c:axId val="1323659071"/>
      </c:barChart>
      <c:barChart>
        <c:barDir val="col"/>
        <c:grouping val="clustered"/>
        <c:varyColors val="0"/>
        <c:ser>
          <c:idx val="2"/>
          <c:order val="2"/>
          <c:tx>
            <c:strRef>
              <c:f>Graphs!$E$22</c:f>
              <c:strCache>
                <c:ptCount val="1"/>
                <c:pt idx="0">
                  <c:v>Private</c:v>
                </c:pt>
              </c:strCache>
            </c:strRef>
          </c:tx>
          <c:spPr>
            <a:solidFill>
              <a:schemeClr val="accent2"/>
            </a:solidFill>
            <a:ln>
              <a:noFill/>
            </a:ln>
            <a:effectLst/>
          </c:spPr>
          <c:invertIfNegative val="0"/>
          <c:cat>
            <c:strRef>
              <c:f>Graphs!$B$23:$B$46</c:f>
              <c:strCache>
                <c:ptCount val="24"/>
                <c:pt idx="0">
                  <c:v>France</c:v>
                </c:pt>
                <c:pt idx="1">
                  <c:v>Italy</c:v>
                </c:pt>
                <c:pt idx="2">
                  <c:v>Spain</c:v>
                </c:pt>
                <c:pt idx="3">
                  <c:v>Bulgaria</c:v>
                </c:pt>
                <c:pt idx="4">
                  <c:v>Portugal</c:v>
                </c:pt>
                <c:pt idx="5">
                  <c:v>Germany</c:v>
                </c:pt>
                <c:pt idx="6">
                  <c:v>Greece</c:v>
                </c:pt>
                <c:pt idx="7">
                  <c:v>Belgium</c:v>
                </c:pt>
                <c:pt idx="8">
                  <c:v>Croatia</c:v>
                </c:pt>
                <c:pt idx="9">
                  <c:v>Slovenia</c:v>
                </c:pt>
                <c:pt idx="10">
                  <c:v>Hungary</c:v>
                </c:pt>
                <c:pt idx="11">
                  <c:v>Poland</c:v>
                </c:pt>
                <c:pt idx="12">
                  <c:v>Netherlands</c:v>
                </c:pt>
                <c:pt idx="13">
                  <c:v>Austria</c:v>
                </c:pt>
                <c:pt idx="14">
                  <c:v>Sweden</c:v>
                </c:pt>
                <c:pt idx="15">
                  <c:v>Ireland</c:v>
                </c:pt>
                <c:pt idx="16">
                  <c:v>Finland</c:v>
                </c:pt>
                <c:pt idx="17">
                  <c:v>Malta</c:v>
                </c:pt>
                <c:pt idx="18">
                  <c:v>Denmark</c:v>
                </c:pt>
                <c:pt idx="19">
                  <c:v>Latvia</c:v>
                </c:pt>
                <c:pt idx="20">
                  <c:v>Romania</c:v>
                </c:pt>
                <c:pt idx="21">
                  <c:v>Czech Republic</c:v>
                </c:pt>
                <c:pt idx="22">
                  <c:v>Republic of Cyprus</c:v>
                </c:pt>
                <c:pt idx="23">
                  <c:v>Luxembourg</c:v>
                </c:pt>
              </c:strCache>
            </c:strRef>
          </c:cat>
          <c:val>
            <c:numRef>
              <c:f>Graphs!$E$23:$E$46</c:f>
              <c:numCache>
                <c:formatCode>General</c:formatCode>
                <c:ptCount val="24"/>
                <c:pt idx="0">
                  <c:v>34</c:v>
                </c:pt>
                <c:pt idx="1">
                  <c:v>9</c:v>
                </c:pt>
                <c:pt idx="2">
                  <c:v>0</c:v>
                </c:pt>
                <c:pt idx="3">
                  <c:v>0</c:v>
                </c:pt>
                <c:pt idx="4">
                  <c:v>8</c:v>
                </c:pt>
                <c:pt idx="5">
                  <c:v>18</c:v>
                </c:pt>
                <c:pt idx="6">
                  <c:v>0</c:v>
                </c:pt>
                <c:pt idx="7">
                  <c:v>29</c:v>
                </c:pt>
                <c:pt idx="8">
                  <c:v>0</c:v>
                </c:pt>
                <c:pt idx="9">
                  <c:v>0</c:v>
                </c:pt>
                <c:pt idx="10">
                  <c:v>0</c:v>
                </c:pt>
                <c:pt idx="11">
                  <c:v>5</c:v>
                </c:pt>
                <c:pt idx="12">
                  <c:v>6</c:v>
                </c:pt>
                <c:pt idx="13">
                  <c:v>1</c:v>
                </c:pt>
                <c:pt idx="14">
                  <c:v>0</c:v>
                </c:pt>
                <c:pt idx="15">
                  <c:v>0</c:v>
                </c:pt>
                <c:pt idx="16">
                  <c:v>6</c:v>
                </c:pt>
                <c:pt idx="17">
                  <c:v>0</c:v>
                </c:pt>
                <c:pt idx="18">
                  <c:v>1</c:v>
                </c:pt>
                <c:pt idx="19">
                  <c:v>0</c:v>
                </c:pt>
                <c:pt idx="20">
                  <c:v>0</c:v>
                </c:pt>
                <c:pt idx="21">
                  <c:v>0</c:v>
                </c:pt>
                <c:pt idx="22">
                  <c:v>0</c:v>
                </c:pt>
                <c:pt idx="23">
                  <c:v>0</c:v>
                </c:pt>
              </c:numCache>
            </c:numRef>
          </c:val>
          <c:extLst>
            <c:ext xmlns:c16="http://schemas.microsoft.com/office/drawing/2014/chart" uri="{C3380CC4-5D6E-409C-BE32-E72D297353CC}">
              <c16:uniqueId val="{00000005-ED43-4590-92C5-1456CA081A08}"/>
            </c:ext>
          </c:extLst>
        </c:ser>
        <c:dLbls>
          <c:showLegendKey val="0"/>
          <c:showVal val="0"/>
          <c:showCatName val="0"/>
          <c:showSerName val="0"/>
          <c:showPercent val="0"/>
          <c:showBubbleSize val="0"/>
        </c:dLbls>
        <c:gapWidth val="70"/>
        <c:axId val="1668134975"/>
        <c:axId val="1668134495"/>
      </c:barChart>
      <c:lineChart>
        <c:grouping val="standard"/>
        <c:varyColors val="0"/>
        <c:ser>
          <c:idx val="0"/>
          <c:order val="0"/>
          <c:tx>
            <c:strRef>
              <c:f>Graphs!$C$22</c:f>
              <c:strCache>
                <c:ptCount val="1"/>
                <c:pt idx="0">
                  <c:v>Total</c:v>
                </c:pt>
              </c:strCache>
            </c:strRef>
          </c:tx>
          <c:spPr>
            <a:ln w="28575" cap="rnd">
              <a:noFill/>
              <a:round/>
            </a:ln>
            <a:effectLst/>
          </c:spPr>
          <c:marker>
            <c:symbol val="circle"/>
            <c:size val="7"/>
            <c:spPr>
              <a:solidFill>
                <a:srgbClr val="FFC000"/>
              </a:solidFill>
              <a:ln w="9525">
                <a:noFill/>
              </a:ln>
              <a:effectLst/>
            </c:spPr>
          </c:marker>
          <c:cat>
            <c:strRef>
              <c:f>Graphs!$B$23:$B$46</c:f>
              <c:strCache>
                <c:ptCount val="24"/>
                <c:pt idx="0">
                  <c:v>France</c:v>
                </c:pt>
                <c:pt idx="1">
                  <c:v>Italy</c:v>
                </c:pt>
                <c:pt idx="2">
                  <c:v>Spain</c:v>
                </c:pt>
                <c:pt idx="3">
                  <c:v>Bulgaria</c:v>
                </c:pt>
                <c:pt idx="4">
                  <c:v>Portugal</c:v>
                </c:pt>
                <c:pt idx="5">
                  <c:v>Germany</c:v>
                </c:pt>
                <c:pt idx="6">
                  <c:v>Greece</c:v>
                </c:pt>
                <c:pt idx="7">
                  <c:v>Belgium</c:v>
                </c:pt>
                <c:pt idx="8">
                  <c:v>Croatia</c:v>
                </c:pt>
                <c:pt idx="9">
                  <c:v>Slovenia</c:v>
                </c:pt>
                <c:pt idx="10">
                  <c:v>Hungary</c:v>
                </c:pt>
                <c:pt idx="11">
                  <c:v>Poland</c:v>
                </c:pt>
                <c:pt idx="12">
                  <c:v>Netherlands</c:v>
                </c:pt>
                <c:pt idx="13">
                  <c:v>Austria</c:v>
                </c:pt>
                <c:pt idx="14">
                  <c:v>Sweden</c:v>
                </c:pt>
                <c:pt idx="15">
                  <c:v>Ireland</c:v>
                </c:pt>
                <c:pt idx="16">
                  <c:v>Finland</c:v>
                </c:pt>
                <c:pt idx="17">
                  <c:v>Malta</c:v>
                </c:pt>
                <c:pt idx="18">
                  <c:v>Denmark</c:v>
                </c:pt>
                <c:pt idx="19">
                  <c:v>Latvia</c:v>
                </c:pt>
                <c:pt idx="20">
                  <c:v>Romania</c:v>
                </c:pt>
                <c:pt idx="21">
                  <c:v>Czech Republic</c:v>
                </c:pt>
                <c:pt idx="22">
                  <c:v>Republic of Cyprus</c:v>
                </c:pt>
                <c:pt idx="23">
                  <c:v>Luxembourg</c:v>
                </c:pt>
              </c:strCache>
            </c:strRef>
          </c:cat>
          <c:val>
            <c:numRef>
              <c:f>Graphs!$C$23:$C$46</c:f>
              <c:numCache>
                <c:formatCode>General</c:formatCode>
                <c:ptCount val="24"/>
                <c:pt idx="0">
                  <c:v>498</c:v>
                </c:pt>
                <c:pt idx="1">
                  <c:v>150</c:v>
                </c:pt>
                <c:pt idx="2">
                  <c:v>90</c:v>
                </c:pt>
                <c:pt idx="3">
                  <c:v>66</c:v>
                </c:pt>
                <c:pt idx="4">
                  <c:v>62</c:v>
                </c:pt>
                <c:pt idx="5">
                  <c:v>56</c:v>
                </c:pt>
                <c:pt idx="6">
                  <c:v>40</c:v>
                </c:pt>
                <c:pt idx="7">
                  <c:v>35</c:v>
                </c:pt>
                <c:pt idx="8">
                  <c:v>21</c:v>
                </c:pt>
                <c:pt idx="9">
                  <c:v>20</c:v>
                </c:pt>
                <c:pt idx="10">
                  <c:v>18</c:v>
                </c:pt>
                <c:pt idx="11">
                  <c:v>18</c:v>
                </c:pt>
                <c:pt idx="12">
                  <c:v>12</c:v>
                </c:pt>
                <c:pt idx="13">
                  <c:v>9</c:v>
                </c:pt>
                <c:pt idx="14">
                  <c:v>7</c:v>
                </c:pt>
                <c:pt idx="15">
                  <c:v>6</c:v>
                </c:pt>
                <c:pt idx="16">
                  <c:v>5</c:v>
                </c:pt>
                <c:pt idx="17">
                  <c:v>5</c:v>
                </c:pt>
                <c:pt idx="18">
                  <c:v>3</c:v>
                </c:pt>
                <c:pt idx="19">
                  <c:v>3</c:v>
                </c:pt>
                <c:pt idx="20">
                  <c:v>7</c:v>
                </c:pt>
                <c:pt idx="21">
                  <c:v>4</c:v>
                </c:pt>
                <c:pt idx="22">
                  <c:v>2</c:v>
                </c:pt>
                <c:pt idx="23">
                  <c:v>1</c:v>
                </c:pt>
              </c:numCache>
            </c:numRef>
          </c:val>
          <c:smooth val="0"/>
          <c:extLst>
            <c:ext xmlns:c16="http://schemas.microsoft.com/office/drawing/2014/chart" uri="{C3380CC4-5D6E-409C-BE32-E72D297353CC}">
              <c16:uniqueId val="{00000003-ED43-4590-92C5-1456CA081A08}"/>
            </c:ext>
          </c:extLst>
        </c:ser>
        <c:dLbls>
          <c:showLegendKey val="0"/>
          <c:showVal val="0"/>
          <c:showCatName val="0"/>
          <c:showSerName val="0"/>
          <c:showPercent val="0"/>
          <c:showBubbleSize val="0"/>
        </c:dLbls>
        <c:marker val="1"/>
        <c:smooth val="0"/>
        <c:axId val="1323667711"/>
        <c:axId val="1323659071"/>
      </c:lineChart>
      <c:catAx>
        <c:axId val="13236677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659071"/>
        <c:crosses val="autoZero"/>
        <c:auto val="1"/>
        <c:lblAlgn val="ctr"/>
        <c:lblOffset val="100"/>
        <c:noMultiLvlLbl val="0"/>
      </c:catAx>
      <c:valAx>
        <c:axId val="1323659071"/>
        <c:scaling>
          <c:orientation val="minMax"/>
          <c:max val="55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667711"/>
        <c:crosses val="autoZero"/>
        <c:crossBetween val="between"/>
      </c:valAx>
      <c:valAx>
        <c:axId val="1668134495"/>
        <c:scaling>
          <c:orientation val="minMax"/>
          <c:max val="550"/>
        </c:scaling>
        <c:delete val="1"/>
        <c:axPos val="r"/>
        <c:numFmt formatCode="General" sourceLinked="1"/>
        <c:majorTickMark val="out"/>
        <c:minorTickMark val="none"/>
        <c:tickLblPos val="nextTo"/>
        <c:crossAx val="1668134975"/>
        <c:crosses val="max"/>
        <c:crossBetween val="between"/>
      </c:valAx>
      <c:catAx>
        <c:axId val="1668134975"/>
        <c:scaling>
          <c:orientation val="minMax"/>
        </c:scaling>
        <c:delete val="1"/>
        <c:axPos val="b"/>
        <c:numFmt formatCode="General" sourceLinked="1"/>
        <c:majorTickMark val="out"/>
        <c:minorTickMark val="none"/>
        <c:tickLblPos val="nextTo"/>
        <c:crossAx val="1668134495"/>
        <c:crosses val="autoZero"/>
        <c:auto val="1"/>
        <c:lblAlgn val="ctr"/>
        <c:lblOffset val="100"/>
        <c:noMultiLvlLbl val="0"/>
      </c:catAx>
      <c:dTable>
        <c:showHorzBorder val="1"/>
        <c:showVertBorder val="1"/>
        <c:showOutline val="1"/>
        <c:showKeys val="1"/>
        <c:spPr>
          <a:noFill/>
          <a:ln w="9525" cap="flat" cmpd="sng" algn="ctr">
            <a:solidFill>
              <a:srgbClr val="FFC000"/>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layout>
        <c:manualLayout>
          <c:xMode val="edge"/>
          <c:yMode val="edge"/>
          <c:x val="0.44036062946729526"/>
          <c:y val="0.13252121397446678"/>
          <c:w val="0.11955501612500363"/>
          <c:h val="3.95585166617598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b="1">
                <a:solidFill>
                  <a:sysClr val="windowText" lastClr="000000"/>
                </a:solidFill>
              </a:rPr>
              <a:t>Number of Public and</a:t>
            </a:r>
            <a:r>
              <a:rPr lang="pl-PL" b="1" baseline="0">
                <a:solidFill>
                  <a:sysClr val="windowText" lastClr="000000"/>
                </a:solidFill>
              </a:rPr>
              <a:t> Private Standards in the Inventory</a:t>
            </a:r>
            <a:endParaRPr lang="en-GB" b="1">
              <a:solidFill>
                <a:sysClr val="windowText" lastClr="000000"/>
              </a:solidFill>
            </a:endParaRPr>
          </a:p>
        </c:rich>
      </c:tx>
      <c:layout>
        <c:manualLayout>
          <c:xMode val="edge"/>
          <c:yMode val="edge"/>
          <c:x val="0.11485930574306537"/>
          <c:y val="2.85087670070508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824104099266327"/>
          <c:y val="0.22679060871829523"/>
          <c:w val="0.52829156920118192"/>
          <c:h val="0.62227063684943729"/>
        </c:manualLayout>
      </c:layout>
      <c:pieChart>
        <c:varyColors val="1"/>
        <c:ser>
          <c:idx val="0"/>
          <c:order val="0"/>
          <c:dPt>
            <c:idx val="0"/>
            <c:bubble3D val="0"/>
            <c:spPr>
              <a:solidFill>
                <a:srgbClr val="BF8F00"/>
              </a:solidFill>
              <a:ln w="19050">
                <a:solidFill>
                  <a:schemeClr val="lt1"/>
                </a:solidFill>
              </a:ln>
              <a:effectLst/>
            </c:spPr>
            <c:extLst>
              <c:ext xmlns:c16="http://schemas.microsoft.com/office/drawing/2014/chart" uri="{C3380CC4-5D6E-409C-BE32-E72D297353CC}">
                <c16:uniqueId val="{00000001-D850-48A1-A17E-7BE2DCADD0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50-48A1-A17E-7BE2DCADD0A9}"/>
              </c:ext>
            </c:extLst>
          </c:dPt>
          <c:dLbls>
            <c:dLbl>
              <c:idx val="0"/>
              <c:layout>
                <c:manualLayout>
                  <c:x val="-8.2392574086901316E-2"/>
                  <c:y val="-0.21618905128659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50-48A1-A17E-7BE2DCADD0A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Graphs!$B$3:$B$4</c:f>
              <c:strCache>
                <c:ptCount val="2"/>
                <c:pt idx="0">
                  <c:v>Public</c:v>
                </c:pt>
                <c:pt idx="1">
                  <c:v>Private</c:v>
                </c:pt>
              </c:strCache>
            </c:strRef>
          </c:cat>
          <c:val>
            <c:numRef>
              <c:f>Graphs!$C$3:$C$4</c:f>
              <c:numCache>
                <c:formatCode>General</c:formatCode>
                <c:ptCount val="2"/>
                <c:pt idx="0">
                  <c:v>0</c:v>
                </c:pt>
                <c:pt idx="1">
                  <c:v>0</c:v>
                </c:pt>
              </c:numCache>
            </c:numRef>
          </c:val>
          <c:extLst>
            <c:ext xmlns:c16="http://schemas.microsoft.com/office/drawing/2014/chart" uri="{C3380CC4-5D6E-409C-BE32-E72D297353CC}">
              <c16:uniqueId val="{00000005-D715-440A-B0A8-B374D2631E4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1" i="0" u="none" strike="noStrike" kern="1200" spc="0" baseline="0">
                <a:solidFill>
                  <a:sysClr val="windowText" lastClr="000000"/>
                </a:solidFill>
              </a:rPr>
              <a:t>Number of Standards per Food Commodity in the Inventory</a:t>
            </a:r>
            <a:endParaRPr lang="en-GB" sz="1400" b="1" i="0" u="none" strike="noStrike" kern="1200" spc="0" baseline="0">
              <a:solidFill>
                <a:sysClr val="windowText" lastClr="000000"/>
              </a:solidFill>
            </a:endParaRPr>
          </a:p>
        </c:rich>
      </c:tx>
      <c:layout>
        <c:manualLayout>
          <c:xMode val="edge"/>
          <c:yMode val="edge"/>
          <c:x val="0.16680352512186894"/>
          <c:y val="2.86501277976173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04377930137176"/>
          <c:y val="0.13371319191750566"/>
          <c:w val="0.86695619928565359"/>
          <c:h val="0.66058540030532653"/>
        </c:manualLayout>
      </c:layout>
      <c:barChart>
        <c:barDir val="col"/>
        <c:grouping val="clustered"/>
        <c:varyColors val="0"/>
        <c:ser>
          <c:idx val="0"/>
          <c:order val="0"/>
          <c:spPr>
            <a:solidFill>
              <a:srgbClr val="FFC000"/>
            </a:solidFill>
            <a:ln>
              <a:noFill/>
            </a:ln>
            <a:effectLst/>
          </c:spPr>
          <c:invertIfNegative val="0"/>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7EA6-4250-881E-0DB7EA59A549}"/>
              </c:ext>
            </c:extLst>
          </c:dPt>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7EA6-4250-881E-0DB7EA59A549}"/>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7EA6-4250-881E-0DB7EA59A5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Graphs!$K$3:$K$9</c:f>
              <c:strCache>
                <c:ptCount val="7"/>
                <c:pt idx="0">
                  <c:v>Fruits and/or Vegetables</c:v>
                </c:pt>
                <c:pt idx="1">
                  <c:v>Bovine</c:v>
                </c:pt>
                <c:pt idx="2">
                  <c:v>Pork</c:v>
                </c:pt>
                <c:pt idx="3">
                  <c:v>Poultry</c:v>
                </c:pt>
                <c:pt idx="4">
                  <c:v>Eggs</c:v>
                </c:pt>
                <c:pt idx="5">
                  <c:v>Fish</c:v>
                </c:pt>
                <c:pt idx="6">
                  <c:v>Cereals</c:v>
                </c:pt>
              </c:strCache>
            </c:strRef>
          </c:cat>
          <c:val>
            <c:numRef>
              <c:f>Graphs!$L$3:$L$9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38F9-4498-AEB7-BA63D66629A4}"/>
            </c:ext>
          </c:extLst>
        </c:ser>
        <c:dLbls>
          <c:showLegendKey val="0"/>
          <c:showVal val="0"/>
          <c:showCatName val="0"/>
          <c:showSerName val="0"/>
          <c:showPercent val="0"/>
          <c:showBubbleSize val="0"/>
        </c:dLbls>
        <c:gapWidth val="30"/>
        <c:overlap val="-27"/>
        <c:axId val="1305675599"/>
        <c:axId val="1305687119"/>
      </c:barChart>
      <c:catAx>
        <c:axId val="1305675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687119"/>
        <c:crosses val="autoZero"/>
        <c:auto val="1"/>
        <c:lblAlgn val="ctr"/>
        <c:lblOffset val="100"/>
        <c:noMultiLvlLbl val="0"/>
      </c:catAx>
      <c:valAx>
        <c:axId val="130568711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675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1" i="0" u="none" strike="noStrike" kern="1200" spc="0" baseline="0">
                <a:solidFill>
                  <a:sysClr val="windowText" lastClr="000000"/>
                </a:solidFill>
              </a:rPr>
              <a:t>Number of EU-wide vs Country-specific Standards in the Inventory</a:t>
            </a:r>
            <a:endParaRPr lang="en-GB" sz="1400" b="1" i="0" u="none" strike="noStrike" kern="1200" spc="0"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41797177234461"/>
          <c:y val="0.17216497457740984"/>
          <c:w val="0.52829156920118192"/>
          <c:h val="0.62227063684943729"/>
        </c:manualLayout>
      </c:layout>
      <c:pieChart>
        <c:varyColors val="1"/>
        <c:ser>
          <c:idx val="0"/>
          <c:order val="0"/>
          <c:spPr>
            <a:solidFill>
              <a:schemeClr val="accent2">
                <a:lumMod val="75000"/>
              </a:schemeClr>
            </a:solidFill>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6A19-4BA6-8C6A-15133B0E5B50}"/>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6A19-4BA6-8C6A-15133B0E5B50}"/>
              </c:ext>
            </c:extLst>
          </c:dPt>
          <c:dLbls>
            <c:dLbl>
              <c:idx val="0"/>
              <c:layout>
                <c:manualLayout>
                  <c:x val="-0.10950927688570819"/>
                  <c:y val="0.144729413639761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19-4BA6-8C6A-15133B0E5B50}"/>
                </c:ext>
              </c:extLst>
            </c:dLbl>
            <c:dLbl>
              <c:idx val="1"/>
              <c:layout>
                <c:manualLayout>
                  <c:x val="0.18166090102262722"/>
                  <c:y val="-0.138562080981154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19-4BA6-8C6A-15133B0E5B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Graphs!$W$3:$W$4</c:f>
              <c:strCache>
                <c:ptCount val="2"/>
                <c:pt idx="0">
                  <c:v>EU-wide</c:v>
                </c:pt>
                <c:pt idx="1">
                  <c:v>Country-specific</c:v>
                </c:pt>
              </c:strCache>
            </c:strRef>
          </c:cat>
          <c:val>
            <c:numRef>
              <c:f>Graphs!$X$3:$X$4</c:f>
              <c:numCache>
                <c:formatCode>General</c:formatCode>
                <c:ptCount val="2"/>
                <c:pt idx="0">
                  <c:v>0</c:v>
                </c:pt>
                <c:pt idx="1">
                  <c:v>0</c:v>
                </c:pt>
              </c:numCache>
            </c:numRef>
          </c:val>
          <c:extLst>
            <c:ext xmlns:c16="http://schemas.microsoft.com/office/drawing/2014/chart" uri="{C3380CC4-5D6E-409C-BE32-E72D297353CC}">
              <c16:uniqueId val="{00000006-0E84-4CFF-908B-171D7E315AE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1" i="0" u="none" strike="noStrike" kern="1200" spc="0" baseline="0">
                <a:solidFill>
                  <a:sysClr val="windowText" lastClr="000000"/>
                </a:solidFill>
              </a:rPr>
              <a:t>Number of Mandatory vs Voluntary Standards in the Inventory</a:t>
            </a:r>
            <a:endParaRPr lang="en-GB" sz="1400" b="1" i="0" u="none" strike="noStrike" kern="1200" spc="0"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41797177234461"/>
          <c:y val="0.17216497457740984"/>
          <c:w val="0.52829156920118192"/>
          <c:h val="0.62227063684943729"/>
        </c:manualLayout>
      </c:layout>
      <c:pieChart>
        <c:varyColors val="1"/>
        <c:ser>
          <c:idx val="0"/>
          <c:order val="0"/>
          <c:spPr>
            <a:solidFill>
              <a:schemeClr val="accent4">
                <a:lumMod val="50000"/>
              </a:schemeClr>
            </a:solidFill>
          </c:spPr>
          <c:dPt>
            <c:idx val="0"/>
            <c:bubble3D val="0"/>
            <c:spPr>
              <a:solidFill>
                <a:schemeClr val="accent4"/>
              </a:solidFill>
              <a:ln w="19050">
                <a:solidFill>
                  <a:schemeClr val="lt1"/>
                </a:solidFill>
              </a:ln>
              <a:effectLst/>
            </c:spPr>
            <c:extLst>
              <c:ext xmlns:c16="http://schemas.microsoft.com/office/drawing/2014/chart" uri="{C3380CC4-5D6E-409C-BE32-E72D297353CC}">
                <c16:uniqueId val="{00000001-2B72-40A9-9972-668F42B6544E}"/>
              </c:ext>
            </c:extLst>
          </c:dPt>
          <c:dPt>
            <c:idx val="1"/>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3-2B72-40A9-9972-668F42B6544E}"/>
              </c:ext>
            </c:extLst>
          </c:dPt>
          <c:dLbls>
            <c:dLbl>
              <c:idx val="0"/>
              <c:layout>
                <c:manualLayout>
                  <c:x val="-4.2213644789209442E-2"/>
                  <c:y val="0.114113354898232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72-40A9-9972-668F42B6544E}"/>
                </c:ext>
              </c:extLst>
            </c:dLbl>
            <c:dLbl>
              <c:idx val="1"/>
              <c:layout>
                <c:manualLayout>
                  <c:x val="7.8742230590641463E-2"/>
                  <c:y val="-0.195515986234979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72-40A9-9972-668F42B6544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Graphs!$W$27:$W$28</c:f>
              <c:strCache>
                <c:ptCount val="2"/>
                <c:pt idx="0">
                  <c:v>Mandatory</c:v>
                </c:pt>
                <c:pt idx="1">
                  <c:v>Voluntary</c:v>
                </c:pt>
              </c:strCache>
            </c:strRef>
          </c:cat>
          <c:val>
            <c:numRef>
              <c:f>Graphs!$X$27:$X$28</c:f>
              <c:numCache>
                <c:formatCode>General</c:formatCode>
                <c:ptCount val="2"/>
                <c:pt idx="0">
                  <c:v>0</c:v>
                </c:pt>
                <c:pt idx="1">
                  <c:v>0</c:v>
                </c:pt>
              </c:numCache>
            </c:numRef>
          </c:val>
          <c:extLst>
            <c:ext xmlns:c16="http://schemas.microsoft.com/office/drawing/2014/chart" uri="{C3380CC4-5D6E-409C-BE32-E72D297353CC}">
              <c16:uniqueId val="{00000005-9AC2-41A7-98C7-BBF03A571B4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1" i="0" u="none" strike="noStrike" kern="1200" spc="0" baseline="0">
                <a:solidFill>
                  <a:sysClr val="windowText" lastClr="000000"/>
                </a:solidFill>
                <a:latin typeface="Arial" panose="020B0604020202020204" pitchFamily="34" charset="0"/>
                <a:cs typeface="Arial" panose="020B0604020202020204" pitchFamily="34" charset="0"/>
              </a:rPr>
              <a:t>% of </a:t>
            </a:r>
            <a:r>
              <a:rPr lang="pl-PL" sz="1200" b="1" i="0" u="none" strike="noStrike" kern="1200" spc="0" baseline="0">
                <a:solidFill>
                  <a:sysClr val="windowText" lastClr="000000"/>
                </a:solidFill>
                <a:latin typeface="Arial" panose="020B0604020202020204" pitchFamily="34" charset="0"/>
                <a:cs typeface="Arial" panose="020B0604020202020204" pitchFamily="34" charset="0"/>
              </a:rPr>
              <a:t>Standards in the Inventory </a:t>
            </a:r>
            <a:r>
              <a:rPr lang="en-GB" sz="1200" b="1" i="0" u="none" strike="noStrike" kern="1200" spc="0" baseline="0">
                <a:solidFill>
                  <a:sysClr val="windowText" lastClr="000000"/>
                </a:solidFill>
                <a:latin typeface="Arial" panose="020B0604020202020204" pitchFamily="34" charset="0"/>
                <a:cs typeface="Arial" panose="020B0604020202020204" pitchFamily="34" charset="0"/>
              </a:rPr>
              <a:t>Applying to the Stages of the</a:t>
            </a:r>
            <a:r>
              <a:rPr lang="pl-PL" sz="1200" b="1" i="0" u="none" strike="noStrike" kern="1200" spc="0" baseline="0">
                <a:solidFill>
                  <a:sysClr val="windowText" lastClr="000000"/>
                </a:solidFill>
                <a:latin typeface="Arial" panose="020B0604020202020204" pitchFamily="34" charset="0"/>
                <a:cs typeface="Arial" panose="020B0604020202020204" pitchFamily="34" charset="0"/>
              </a:rPr>
              <a:t> Supply Chain Stage</a:t>
            </a:r>
            <a:endParaRPr lang="en-GB" sz="1200" b="1" i="0" u="none" strike="noStrike" kern="1200" spc="0" baseline="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3532642633148698"/>
          <c:y val="6.178707686798874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8827590815447581E-2"/>
          <c:y val="0.22159472931908694"/>
          <c:w val="0.95000350572825876"/>
          <c:h val="0.62638992543062022"/>
        </c:manualLayout>
      </c:layout>
      <c:barChart>
        <c:barDir val="col"/>
        <c:grouping val="clustered"/>
        <c:varyColors val="0"/>
        <c:ser>
          <c:idx val="0"/>
          <c:order val="0"/>
          <c:spPr>
            <a:solidFill>
              <a:srgbClr val="FFC000"/>
            </a:solidFill>
            <a:ln w="19050">
              <a:solidFill>
                <a:schemeClr val="lt1"/>
              </a:solidFill>
            </a:ln>
            <a:effectLst/>
          </c:spPr>
          <c:invertIfNegative val="0"/>
          <c:dPt>
            <c:idx val="0"/>
            <c:invertIfNegative val="0"/>
            <c:bubble3D val="0"/>
            <c:spPr>
              <a:solidFill>
                <a:srgbClr val="FFC000"/>
              </a:solidFill>
              <a:ln w="19050">
                <a:solidFill>
                  <a:schemeClr val="lt1"/>
                </a:solidFill>
              </a:ln>
              <a:effectLst/>
            </c:spPr>
            <c:extLst>
              <c:ext xmlns:c16="http://schemas.microsoft.com/office/drawing/2014/chart" uri="{C3380CC4-5D6E-409C-BE32-E72D297353CC}">
                <c16:uniqueId val="{00000001-960B-49B4-84A2-55F356005960}"/>
              </c:ext>
            </c:extLst>
          </c:dPt>
          <c:dPt>
            <c:idx val="1"/>
            <c:invertIfNegative val="0"/>
            <c:bubble3D val="0"/>
            <c:spPr>
              <a:solidFill>
                <a:srgbClr val="FFC000"/>
              </a:solidFill>
              <a:ln w="19050">
                <a:solidFill>
                  <a:schemeClr val="lt1"/>
                </a:solidFill>
              </a:ln>
              <a:effectLst/>
            </c:spPr>
            <c:extLst>
              <c:ext xmlns:c16="http://schemas.microsoft.com/office/drawing/2014/chart" uri="{C3380CC4-5D6E-409C-BE32-E72D297353CC}">
                <c16:uniqueId val="{00000003-960B-49B4-84A2-55F356005960}"/>
              </c:ext>
            </c:extLst>
          </c:dPt>
          <c:dLbls>
            <c:dLbl>
              <c:idx val="0"/>
              <c:layout>
                <c:manualLayout>
                  <c:x val="2.9706739445254115E-3"/>
                  <c:y val="-2.65019530230097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0B-49B4-84A2-55F35600596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Graphs!$W$52:$W$55</c:f>
              <c:strCache>
                <c:ptCount val="4"/>
                <c:pt idx="0">
                  <c:v>Primary Production</c:v>
                </c:pt>
                <c:pt idx="1">
                  <c:v>Processing  &amp; Manufacturing</c:v>
                </c:pt>
                <c:pt idx="2">
                  <c:v>Retail &amp; Other Distribution</c:v>
                </c:pt>
                <c:pt idx="3">
                  <c:v>Food services</c:v>
                </c:pt>
              </c:strCache>
            </c:strRef>
          </c:cat>
          <c:val>
            <c:numRef>
              <c:f>Graphs!$X$52:$X$55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E6D4-4527-9BA2-D6B016BF709D}"/>
            </c:ext>
          </c:extLst>
        </c:ser>
        <c:dLbls>
          <c:showLegendKey val="0"/>
          <c:showVal val="0"/>
          <c:showCatName val="0"/>
          <c:showSerName val="0"/>
          <c:showPercent val="0"/>
          <c:showBubbleSize val="0"/>
        </c:dLbls>
        <c:gapWidth val="30"/>
        <c:axId val="178431968"/>
        <c:axId val="178435328"/>
      </c:barChart>
      <c:catAx>
        <c:axId val="178431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8435328"/>
        <c:crosses val="autoZero"/>
        <c:auto val="1"/>
        <c:lblAlgn val="ctr"/>
        <c:lblOffset val="100"/>
        <c:noMultiLvlLbl val="0"/>
      </c:catAx>
      <c:valAx>
        <c:axId val="178435328"/>
        <c:scaling>
          <c:orientation val="minMax"/>
          <c:max val="1500"/>
        </c:scaling>
        <c:delete val="1"/>
        <c:axPos val="l"/>
        <c:numFmt formatCode="General" sourceLinked="1"/>
        <c:majorTickMark val="out"/>
        <c:minorTickMark val="none"/>
        <c:tickLblPos val="nextTo"/>
        <c:crossAx val="17843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1" i="0" u="none" strike="noStrike" kern="1200" spc="0" baseline="0">
                <a:solidFill>
                  <a:sysClr val="windowText" lastClr="000000"/>
                </a:solidFill>
              </a:rPr>
              <a:t>Number of </a:t>
            </a:r>
            <a:r>
              <a:rPr lang="en-GB" sz="1400" b="1" i="0" u="sng" strike="noStrike" kern="1200" spc="0" baseline="0">
                <a:solidFill>
                  <a:sysClr val="windowText" lastClr="000000"/>
                </a:solidFill>
              </a:rPr>
              <a:t>Country Specific </a:t>
            </a:r>
            <a:r>
              <a:rPr lang="pl-PL" sz="1400" b="1" i="0" u="none" strike="noStrike" kern="1200" spc="0" baseline="0">
                <a:solidFill>
                  <a:sysClr val="windowText" lastClr="000000"/>
                </a:solidFill>
              </a:rPr>
              <a:t>Standards per Food Commodity in the Inventory</a:t>
            </a:r>
            <a:endParaRPr lang="en-GB" sz="1400" b="1" i="0" u="none" strike="noStrike" kern="1200" spc="0" baseline="0">
              <a:solidFill>
                <a:sysClr val="windowText" lastClr="000000"/>
              </a:solidFill>
            </a:endParaRPr>
          </a:p>
        </c:rich>
      </c:tx>
      <c:layout>
        <c:manualLayout>
          <c:xMode val="edge"/>
          <c:yMode val="edge"/>
          <c:x val="0.16680352512186894"/>
          <c:y val="2.86501277976173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20159949661808"/>
          <c:y val="0.13371318477690575"/>
          <c:w val="0.86695619928565359"/>
          <c:h val="0.66058540030532653"/>
        </c:manualLayout>
      </c:layout>
      <c:barChart>
        <c:barDir val="col"/>
        <c:grouping val="clustered"/>
        <c:varyColors val="0"/>
        <c:ser>
          <c:idx val="0"/>
          <c:order val="0"/>
          <c:spPr>
            <a:solidFill>
              <a:srgbClr val="FFC000"/>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BCF2-4E34-953C-859F84B0ACDF}"/>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BCF2-4E34-953C-859F84B0ACDF}"/>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BCF2-4E34-953C-859F84B0AC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Graphs!$B$55:$B$61</c:f>
              <c:strCache>
                <c:ptCount val="7"/>
                <c:pt idx="0">
                  <c:v>Fruits and/or Vegetables</c:v>
                </c:pt>
                <c:pt idx="1">
                  <c:v>Bovine</c:v>
                </c:pt>
                <c:pt idx="2">
                  <c:v>Pork</c:v>
                </c:pt>
                <c:pt idx="3">
                  <c:v>Poultry</c:v>
                </c:pt>
                <c:pt idx="4">
                  <c:v>Eggs</c:v>
                </c:pt>
                <c:pt idx="5">
                  <c:v>Fish</c:v>
                </c:pt>
                <c:pt idx="6">
                  <c:v>Cereals</c:v>
                </c:pt>
              </c:strCache>
            </c:strRef>
          </c:cat>
          <c:val>
            <c:numRef>
              <c:f>Graphs!$C$55:$C$61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A0F1-4419-AF74-65548C3A9484}"/>
            </c:ext>
          </c:extLst>
        </c:ser>
        <c:dLbls>
          <c:showLegendKey val="0"/>
          <c:showVal val="0"/>
          <c:showCatName val="0"/>
          <c:showSerName val="0"/>
          <c:showPercent val="0"/>
          <c:showBubbleSize val="0"/>
        </c:dLbls>
        <c:gapWidth val="30"/>
        <c:overlap val="-27"/>
        <c:axId val="1305675599"/>
        <c:axId val="1305687119"/>
      </c:barChart>
      <c:catAx>
        <c:axId val="1305675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687119"/>
        <c:crosses val="autoZero"/>
        <c:auto val="1"/>
        <c:lblAlgn val="ctr"/>
        <c:lblOffset val="100"/>
        <c:noMultiLvlLbl val="0"/>
      </c:catAx>
      <c:valAx>
        <c:axId val="130568711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675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1" i="0" u="none" strike="noStrike" kern="1200" spc="0" baseline="0">
                <a:solidFill>
                  <a:sysClr val="windowText" lastClr="000000"/>
                </a:solidFill>
              </a:rPr>
              <a:t>Number of </a:t>
            </a:r>
            <a:r>
              <a:rPr lang="en-GB" sz="1400" b="1" i="0" u="sng" strike="noStrike" kern="1200" spc="0" baseline="0">
                <a:solidFill>
                  <a:sysClr val="windowText" lastClr="000000"/>
                </a:solidFill>
              </a:rPr>
              <a:t>Country Specific</a:t>
            </a:r>
            <a:r>
              <a:rPr lang="en-GB" sz="1400" b="1" i="0" u="none" strike="noStrike" kern="1200" spc="0" baseline="0">
                <a:solidFill>
                  <a:sysClr val="windowText" lastClr="000000"/>
                </a:solidFill>
              </a:rPr>
              <a:t> </a:t>
            </a:r>
            <a:r>
              <a:rPr lang="pl-PL" sz="1400" b="1" i="0" u="none" strike="noStrike" kern="1200" spc="0" baseline="0">
                <a:solidFill>
                  <a:sysClr val="windowText" lastClr="000000"/>
                </a:solidFill>
              </a:rPr>
              <a:t>Standards per Country in the Inventory</a:t>
            </a:r>
            <a:endParaRPr lang="en-GB" sz="1400" b="1" i="0" u="none" strike="noStrike" kern="1200" spc="0" baseline="0">
              <a:solidFill>
                <a:sysClr val="windowText" lastClr="000000"/>
              </a:solidFill>
            </a:endParaRPr>
          </a:p>
        </c:rich>
      </c:tx>
      <c:layout>
        <c:manualLayout>
          <c:xMode val="edge"/>
          <c:yMode val="edge"/>
          <c:x val="0.27761570322348278"/>
          <c:y val="4.1221854723797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17936671278792E-2"/>
          <c:y val="9.8225404563832747E-2"/>
          <c:w val="0.94429581983545363"/>
          <c:h val="0.72330380002026828"/>
        </c:manualLayout>
      </c:layout>
      <c:barChart>
        <c:barDir val="col"/>
        <c:grouping val="clustered"/>
        <c:varyColors val="0"/>
        <c:ser>
          <c:idx val="2"/>
          <c:order val="0"/>
          <c:tx>
            <c:strRef>
              <c:f>[2]Graphs!$C$106</c:f>
              <c:strCache>
                <c:ptCount val="1"/>
                <c:pt idx="0">
                  <c:v>Total</c:v>
                </c:pt>
              </c:strCache>
            </c:strRef>
          </c:tx>
          <c:spPr>
            <a:solidFill>
              <a:srgbClr val="FFC000"/>
            </a:solidFill>
            <a:ln>
              <a:noFill/>
            </a:ln>
            <a:effectLst/>
          </c:spPr>
          <c:invertIfNegative val="0"/>
          <c:cat>
            <c:strRef>
              <c:f>[2]Graphs!$B$107:$B$127</c:f>
              <c:strCache>
                <c:ptCount val="21"/>
                <c:pt idx="0">
                  <c:v>France</c:v>
                </c:pt>
                <c:pt idx="1">
                  <c:v>Italy</c:v>
                </c:pt>
                <c:pt idx="2">
                  <c:v>Spain</c:v>
                </c:pt>
                <c:pt idx="3">
                  <c:v>Bulgaria</c:v>
                </c:pt>
                <c:pt idx="4">
                  <c:v>Portugal</c:v>
                </c:pt>
                <c:pt idx="5">
                  <c:v>Germany</c:v>
                </c:pt>
                <c:pt idx="6">
                  <c:v>Greece</c:v>
                </c:pt>
                <c:pt idx="7">
                  <c:v>Belgium</c:v>
                </c:pt>
                <c:pt idx="8">
                  <c:v>Croatia</c:v>
                </c:pt>
                <c:pt idx="9">
                  <c:v>Slovenia</c:v>
                </c:pt>
                <c:pt idx="10">
                  <c:v>Hungary</c:v>
                </c:pt>
                <c:pt idx="11">
                  <c:v>Poland</c:v>
                </c:pt>
                <c:pt idx="12">
                  <c:v>Netherlands</c:v>
                </c:pt>
                <c:pt idx="13">
                  <c:v>Austria</c:v>
                </c:pt>
                <c:pt idx="14">
                  <c:v>Sweden</c:v>
                </c:pt>
                <c:pt idx="15">
                  <c:v>Ireland</c:v>
                </c:pt>
                <c:pt idx="16">
                  <c:v>Finland</c:v>
                </c:pt>
                <c:pt idx="17">
                  <c:v>Malta</c:v>
                </c:pt>
                <c:pt idx="18">
                  <c:v>Denmark</c:v>
                </c:pt>
                <c:pt idx="19">
                  <c:v>Latvia</c:v>
                </c:pt>
                <c:pt idx="20">
                  <c:v>Romania</c:v>
                </c:pt>
              </c:strCache>
            </c:strRef>
          </c:cat>
          <c:val>
            <c:numRef>
              <c:f>[2]Graphs!$C$107:$C$127</c:f>
              <c:numCache>
                <c:formatCode>General</c:formatCode>
                <c:ptCount val="21"/>
                <c:pt idx="0">
                  <c:v>496</c:v>
                </c:pt>
                <c:pt idx="1">
                  <c:v>156</c:v>
                </c:pt>
                <c:pt idx="2">
                  <c:v>90</c:v>
                </c:pt>
                <c:pt idx="3">
                  <c:v>66</c:v>
                </c:pt>
                <c:pt idx="4">
                  <c:v>61</c:v>
                </c:pt>
                <c:pt idx="5">
                  <c:v>58</c:v>
                </c:pt>
                <c:pt idx="6">
                  <c:v>40</c:v>
                </c:pt>
                <c:pt idx="7">
                  <c:v>37</c:v>
                </c:pt>
                <c:pt idx="8">
                  <c:v>21</c:v>
                </c:pt>
                <c:pt idx="9">
                  <c:v>20</c:v>
                </c:pt>
                <c:pt idx="10">
                  <c:v>18</c:v>
                </c:pt>
                <c:pt idx="11">
                  <c:v>18</c:v>
                </c:pt>
                <c:pt idx="12">
                  <c:v>12</c:v>
                </c:pt>
                <c:pt idx="13">
                  <c:v>9</c:v>
                </c:pt>
                <c:pt idx="14">
                  <c:v>7</c:v>
                </c:pt>
                <c:pt idx="15">
                  <c:v>6</c:v>
                </c:pt>
                <c:pt idx="16">
                  <c:v>5</c:v>
                </c:pt>
                <c:pt idx="17">
                  <c:v>5</c:v>
                </c:pt>
                <c:pt idx="18">
                  <c:v>3</c:v>
                </c:pt>
                <c:pt idx="19">
                  <c:v>3</c:v>
                </c:pt>
                <c:pt idx="20">
                  <c:v>3</c:v>
                </c:pt>
              </c:numCache>
            </c:numRef>
          </c:val>
          <c:extLst>
            <c:ext xmlns:c16="http://schemas.microsoft.com/office/drawing/2014/chart" uri="{C3380CC4-5D6E-409C-BE32-E72D297353CC}">
              <c16:uniqueId val="{00000000-B548-4120-981E-E1CB9B02ACF5}"/>
            </c:ext>
          </c:extLst>
        </c:ser>
        <c:dLbls>
          <c:showLegendKey val="0"/>
          <c:showVal val="0"/>
          <c:showCatName val="0"/>
          <c:showSerName val="0"/>
          <c:showPercent val="0"/>
          <c:showBubbleSize val="0"/>
        </c:dLbls>
        <c:gapWidth val="30"/>
        <c:axId val="1323667711"/>
        <c:axId val="1323659071"/>
      </c:barChart>
      <c:catAx>
        <c:axId val="13236677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659071"/>
        <c:crosses val="autoZero"/>
        <c:auto val="1"/>
        <c:lblAlgn val="ctr"/>
        <c:lblOffset val="100"/>
        <c:noMultiLvlLbl val="0"/>
      </c:catAx>
      <c:valAx>
        <c:axId val="1323659071"/>
        <c:scaling>
          <c:orientation val="minMax"/>
          <c:max val="60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667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3.svg"/><Relationship Id="rId10" Type="http://schemas.openxmlformats.org/officeDocument/2006/relationships/chart" Target="../charts/chart8.xml"/><Relationship Id="rId4" Type="http://schemas.openxmlformats.org/officeDocument/2006/relationships/image" Target="../media/image2.png"/><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0</xdr:col>
      <xdr:colOff>5765800</xdr:colOff>
      <xdr:row>7</xdr:row>
      <xdr:rowOff>177800</xdr:rowOff>
    </xdr:to>
    <xdr:pic>
      <xdr:nvPicPr>
        <xdr:cNvPr id="2" name="Picture 1">
          <a:extLst>
            <a:ext uri="{FF2B5EF4-FFF2-40B4-BE49-F238E27FC236}">
              <a16:creationId xmlns:a16="http://schemas.microsoft.com/office/drawing/2014/main" id="{53DD1EB1-3C93-9046-803C-2D20B63F95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400"/>
          <a:ext cx="5765800" cy="157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736600</xdr:colOff>
      <xdr:row>4</xdr:row>
      <xdr:rowOff>0</xdr:rowOff>
    </xdr:to>
    <xdr:pic>
      <xdr:nvPicPr>
        <xdr:cNvPr id="2" name="Picture 1">
          <a:extLst>
            <a:ext uri="{FF2B5EF4-FFF2-40B4-BE49-F238E27FC236}">
              <a16:creationId xmlns:a16="http://schemas.microsoft.com/office/drawing/2014/main" id="{A9E90486-C431-8C4D-AE9B-72E305EB75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54700" cy="81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133349</xdr:colOff>
      <xdr:row>21</xdr:row>
      <xdr:rowOff>22860</xdr:rowOff>
    </xdr:from>
    <xdr:to>
      <xdr:col>21</xdr:col>
      <xdr:colOff>269631</xdr:colOff>
      <xdr:row>48</xdr:row>
      <xdr:rowOff>187569</xdr:rowOff>
    </xdr:to>
    <xdr:graphicFrame macro="">
      <xdr:nvGraphicFramePr>
        <xdr:cNvPr id="21" name="Chart 20">
          <a:extLst>
            <a:ext uri="{FF2B5EF4-FFF2-40B4-BE49-F238E27FC236}">
              <a16:creationId xmlns:a16="http://schemas.microsoft.com/office/drawing/2014/main" id="{547B6A1B-0B75-472B-A027-9087D8C12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70339</xdr:colOff>
      <xdr:row>0</xdr:row>
      <xdr:rowOff>187569</xdr:rowOff>
    </xdr:from>
    <xdr:to>
      <xdr:col>9</xdr:col>
      <xdr:colOff>58615</xdr:colOff>
      <xdr:row>18</xdr:row>
      <xdr:rowOff>164123</xdr:rowOff>
    </xdr:to>
    <xdr:graphicFrame macro="">
      <xdr:nvGraphicFramePr>
        <xdr:cNvPr id="22" name="Chart 21">
          <a:extLst>
            <a:ext uri="{FF2B5EF4-FFF2-40B4-BE49-F238E27FC236}">
              <a16:creationId xmlns:a16="http://schemas.microsoft.com/office/drawing/2014/main" id="{FBF452E6-FB83-4CF2-B8EB-C36CFF08A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82062</xdr:colOff>
      <xdr:row>1</xdr:row>
      <xdr:rowOff>17584</xdr:rowOff>
    </xdr:from>
    <xdr:to>
      <xdr:col>21</xdr:col>
      <xdr:colOff>281356</xdr:colOff>
      <xdr:row>18</xdr:row>
      <xdr:rowOff>175846</xdr:rowOff>
    </xdr:to>
    <xdr:graphicFrame macro="">
      <xdr:nvGraphicFramePr>
        <xdr:cNvPr id="23" name="Chart 22">
          <a:extLst>
            <a:ext uri="{FF2B5EF4-FFF2-40B4-BE49-F238E27FC236}">
              <a16:creationId xmlns:a16="http://schemas.microsoft.com/office/drawing/2014/main" id="{6336A23C-2FB5-404D-BE98-4B817D68E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422031</xdr:colOff>
      <xdr:row>6</xdr:row>
      <xdr:rowOff>117228</xdr:rowOff>
    </xdr:from>
    <xdr:to>
      <xdr:col>17</xdr:col>
      <xdr:colOff>633046</xdr:colOff>
      <xdr:row>16</xdr:row>
      <xdr:rowOff>58614</xdr:rowOff>
    </xdr:to>
    <xdr:sp macro="" textlink="">
      <xdr:nvSpPr>
        <xdr:cNvPr id="24" name="Rectangle 23">
          <a:extLst>
            <a:ext uri="{FF2B5EF4-FFF2-40B4-BE49-F238E27FC236}">
              <a16:creationId xmlns:a16="http://schemas.microsoft.com/office/drawing/2014/main" id="{A3F22209-E4EA-43DD-8DC7-8E336A377C58}"/>
            </a:ext>
          </a:extLst>
        </xdr:cNvPr>
        <xdr:cNvSpPr/>
      </xdr:nvSpPr>
      <xdr:spPr>
        <a:xfrm>
          <a:off x="10670931" y="1305948"/>
          <a:ext cx="2222695" cy="1922586"/>
        </a:xfrm>
        <a:prstGeom prst="rect">
          <a:avLst/>
        </a:prstGeom>
        <a:noFill/>
        <a:ln>
          <a:solidFill>
            <a:schemeClr val="bg1">
              <a:lumMod val="65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17</xdr:col>
      <xdr:colOff>633045</xdr:colOff>
      <xdr:row>5</xdr:row>
      <xdr:rowOff>128953</xdr:rowOff>
    </xdr:from>
    <xdr:to>
      <xdr:col>19</xdr:col>
      <xdr:colOff>3491</xdr:colOff>
      <xdr:row>9</xdr:row>
      <xdr:rowOff>35169</xdr:rowOff>
    </xdr:to>
    <xdr:pic>
      <xdr:nvPicPr>
        <xdr:cNvPr id="25" name="Graphic 24" descr="Magnifying glass with solid fill">
          <a:extLst>
            <a:ext uri="{FF2B5EF4-FFF2-40B4-BE49-F238E27FC236}">
              <a16:creationId xmlns:a16="http://schemas.microsoft.com/office/drawing/2014/main" id="{12632C1D-A822-45AE-B665-1D651A39D3D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2893625" y="1119553"/>
          <a:ext cx="705729" cy="698696"/>
        </a:xfrm>
        <a:prstGeom prst="rect">
          <a:avLst/>
        </a:prstGeom>
      </xdr:spPr>
    </xdr:pic>
    <xdr:clientData/>
  </xdr:twoCellAnchor>
  <xdr:twoCellAnchor>
    <xdr:from>
      <xdr:col>17</xdr:col>
      <xdr:colOff>269631</xdr:colOff>
      <xdr:row>6</xdr:row>
      <xdr:rowOff>35170</xdr:rowOff>
    </xdr:from>
    <xdr:to>
      <xdr:col>18</xdr:col>
      <xdr:colOff>211017</xdr:colOff>
      <xdr:row>7</xdr:row>
      <xdr:rowOff>140677</xdr:rowOff>
    </xdr:to>
    <xdr:sp macro="" textlink="">
      <xdr:nvSpPr>
        <xdr:cNvPr id="26" name="Rectangle 25">
          <a:extLst>
            <a:ext uri="{FF2B5EF4-FFF2-40B4-BE49-F238E27FC236}">
              <a16:creationId xmlns:a16="http://schemas.microsoft.com/office/drawing/2014/main" id="{379A58C4-9FCC-4C21-A732-688F69119531}"/>
            </a:ext>
          </a:extLst>
        </xdr:cNvPr>
        <xdr:cNvSpPr/>
      </xdr:nvSpPr>
      <xdr:spPr>
        <a:xfrm>
          <a:off x="12530211" y="1223890"/>
          <a:ext cx="611946" cy="3036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l-PL" sz="1200" b="1">
              <a:solidFill>
                <a:schemeClr val="bg1">
                  <a:lumMod val="65000"/>
                </a:schemeClr>
              </a:solidFill>
            </a:rPr>
            <a:t>Meat</a:t>
          </a:r>
          <a:endParaRPr lang="en-GB" sz="1200" b="1">
            <a:solidFill>
              <a:schemeClr val="bg1">
                <a:lumMod val="65000"/>
              </a:schemeClr>
            </a:solidFill>
          </a:endParaRPr>
        </a:p>
      </xdr:txBody>
    </xdr:sp>
    <xdr:clientData/>
  </xdr:twoCellAnchor>
  <xdr:twoCellAnchor>
    <xdr:from>
      <xdr:col>22</xdr:col>
      <xdr:colOff>-1</xdr:colOff>
      <xdr:row>5</xdr:row>
      <xdr:rowOff>35169</xdr:rowOff>
    </xdr:from>
    <xdr:to>
      <xdr:col>26</xdr:col>
      <xdr:colOff>257907</xdr:colOff>
      <xdr:row>23</xdr:row>
      <xdr:rowOff>11724</xdr:rowOff>
    </xdr:to>
    <xdr:graphicFrame macro="">
      <xdr:nvGraphicFramePr>
        <xdr:cNvPr id="27" name="Chart 26">
          <a:extLst>
            <a:ext uri="{FF2B5EF4-FFF2-40B4-BE49-F238E27FC236}">
              <a16:creationId xmlns:a16="http://schemas.microsoft.com/office/drawing/2014/main" id="{13BC7749-F4E4-4BE9-B33B-2736EC550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29</xdr:row>
      <xdr:rowOff>0</xdr:rowOff>
    </xdr:from>
    <xdr:to>
      <xdr:col>26</xdr:col>
      <xdr:colOff>257908</xdr:colOff>
      <xdr:row>48</xdr:row>
      <xdr:rowOff>0</xdr:rowOff>
    </xdr:to>
    <xdr:graphicFrame macro="">
      <xdr:nvGraphicFramePr>
        <xdr:cNvPr id="28" name="Chart 27">
          <a:extLst>
            <a:ext uri="{FF2B5EF4-FFF2-40B4-BE49-F238E27FC236}">
              <a16:creationId xmlns:a16="http://schemas.microsoft.com/office/drawing/2014/main" id="{64569669-515A-4B74-9070-C372528F6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553728</xdr:colOff>
      <xdr:row>56</xdr:row>
      <xdr:rowOff>182082</xdr:rowOff>
    </xdr:from>
    <xdr:to>
      <xdr:col>26</xdr:col>
      <xdr:colOff>218747</xdr:colOff>
      <xdr:row>72</xdr:row>
      <xdr:rowOff>0</xdr:rowOff>
    </xdr:to>
    <xdr:graphicFrame macro="">
      <xdr:nvGraphicFramePr>
        <xdr:cNvPr id="29" name="Chart 28">
          <a:extLst>
            <a:ext uri="{FF2B5EF4-FFF2-40B4-BE49-F238E27FC236}">
              <a16:creationId xmlns:a16="http://schemas.microsoft.com/office/drawing/2014/main" id="{C1106A72-4CE6-493C-8B6E-DE6CE646C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53</xdr:row>
      <xdr:rowOff>0</xdr:rowOff>
    </xdr:from>
    <xdr:to>
      <xdr:col>12</xdr:col>
      <xdr:colOff>117232</xdr:colOff>
      <xdr:row>69</xdr:row>
      <xdr:rowOff>158263</xdr:rowOff>
    </xdr:to>
    <xdr:graphicFrame macro="">
      <xdr:nvGraphicFramePr>
        <xdr:cNvPr id="30" name="Chart 29">
          <a:extLst>
            <a:ext uri="{FF2B5EF4-FFF2-40B4-BE49-F238E27FC236}">
              <a16:creationId xmlns:a16="http://schemas.microsoft.com/office/drawing/2014/main" id="{C26D2A02-E85C-4934-839C-DBB344F2C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93785</xdr:colOff>
      <xdr:row>56</xdr:row>
      <xdr:rowOff>93785</xdr:rowOff>
    </xdr:from>
    <xdr:to>
      <xdr:col>9</xdr:col>
      <xdr:colOff>140678</xdr:colOff>
      <xdr:row>67</xdr:row>
      <xdr:rowOff>175845</xdr:rowOff>
    </xdr:to>
    <xdr:sp macro="" textlink="">
      <xdr:nvSpPr>
        <xdr:cNvPr id="31" name="Rectangle 30">
          <a:extLst>
            <a:ext uri="{FF2B5EF4-FFF2-40B4-BE49-F238E27FC236}">
              <a16:creationId xmlns:a16="http://schemas.microsoft.com/office/drawing/2014/main" id="{1F534B86-0FBA-46F3-A30C-196DFB2E7F72}"/>
            </a:ext>
          </a:extLst>
        </xdr:cNvPr>
        <xdr:cNvSpPr/>
      </xdr:nvSpPr>
      <xdr:spPr>
        <a:xfrm>
          <a:off x="4993445" y="10990385"/>
          <a:ext cx="2058573" cy="2261380"/>
        </a:xfrm>
        <a:prstGeom prst="rect">
          <a:avLst/>
        </a:prstGeom>
        <a:noFill/>
        <a:ln>
          <a:solidFill>
            <a:schemeClr val="bg1">
              <a:lumMod val="65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574430</xdr:colOff>
      <xdr:row>55</xdr:row>
      <xdr:rowOff>70339</xdr:rowOff>
    </xdr:from>
    <xdr:to>
      <xdr:col>9</xdr:col>
      <xdr:colOff>609601</xdr:colOff>
      <xdr:row>58</xdr:row>
      <xdr:rowOff>175847</xdr:rowOff>
    </xdr:to>
    <xdr:pic>
      <xdr:nvPicPr>
        <xdr:cNvPr id="32" name="Graphic 31" descr="Magnifying glass with solid fill">
          <a:extLst>
            <a:ext uri="{FF2B5EF4-FFF2-40B4-BE49-F238E27FC236}">
              <a16:creationId xmlns:a16="http://schemas.microsoft.com/office/drawing/2014/main" id="{310BEF6C-EE1A-4FDE-BB34-E057C76CCA2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815210" y="10768819"/>
          <a:ext cx="705730" cy="699868"/>
        </a:xfrm>
        <a:prstGeom prst="rect">
          <a:avLst/>
        </a:prstGeom>
      </xdr:spPr>
    </xdr:pic>
    <xdr:clientData/>
  </xdr:twoCellAnchor>
  <xdr:twoCellAnchor>
    <xdr:from>
      <xdr:col>9</xdr:col>
      <xdr:colOff>351693</xdr:colOff>
      <xdr:row>56</xdr:row>
      <xdr:rowOff>117232</xdr:rowOff>
    </xdr:from>
    <xdr:to>
      <xdr:col>10</xdr:col>
      <xdr:colOff>293079</xdr:colOff>
      <xdr:row>58</xdr:row>
      <xdr:rowOff>23445</xdr:rowOff>
    </xdr:to>
    <xdr:sp macro="" textlink="">
      <xdr:nvSpPr>
        <xdr:cNvPr id="33" name="Rectangle 32">
          <a:extLst>
            <a:ext uri="{FF2B5EF4-FFF2-40B4-BE49-F238E27FC236}">
              <a16:creationId xmlns:a16="http://schemas.microsoft.com/office/drawing/2014/main" id="{4A65C293-BA52-41A6-9710-02A6A3D568BC}"/>
            </a:ext>
          </a:extLst>
        </xdr:cNvPr>
        <xdr:cNvSpPr/>
      </xdr:nvSpPr>
      <xdr:spPr>
        <a:xfrm>
          <a:off x="7263033" y="11013832"/>
          <a:ext cx="611946" cy="3024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l-PL" sz="1200" b="1">
              <a:solidFill>
                <a:schemeClr val="bg1">
                  <a:lumMod val="65000"/>
                </a:schemeClr>
              </a:solidFill>
            </a:rPr>
            <a:t>Meat</a:t>
          </a:r>
          <a:endParaRPr lang="en-GB" sz="1200" b="1">
            <a:solidFill>
              <a:schemeClr val="bg1">
                <a:lumMod val="65000"/>
              </a:schemeClr>
            </a:solidFill>
          </a:endParaRPr>
        </a:p>
      </xdr:txBody>
    </xdr:sp>
    <xdr:clientData/>
  </xdr:twoCellAnchor>
  <xdr:twoCellAnchor>
    <xdr:from>
      <xdr:col>7</xdr:col>
      <xdr:colOff>269631</xdr:colOff>
      <xdr:row>57</xdr:row>
      <xdr:rowOff>2</xdr:rowOff>
    </xdr:from>
    <xdr:to>
      <xdr:col>7</xdr:col>
      <xdr:colOff>633045</xdr:colOff>
      <xdr:row>59</xdr:row>
      <xdr:rowOff>82063</xdr:rowOff>
    </xdr:to>
    <xdr:sp macro="" textlink="">
      <xdr:nvSpPr>
        <xdr:cNvPr id="34" name="Rectangle 33">
          <a:extLst>
            <a:ext uri="{FF2B5EF4-FFF2-40B4-BE49-F238E27FC236}">
              <a16:creationId xmlns:a16="http://schemas.microsoft.com/office/drawing/2014/main" id="{FABDDBB6-8834-4918-A885-3D0589DFF40B}"/>
            </a:ext>
          </a:extLst>
        </xdr:cNvPr>
        <xdr:cNvSpPr/>
      </xdr:nvSpPr>
      <xdr:spPr>
        <a:xfrm>
          <a:off x="5839851" y="11094722"/>
          <a:ext cx="363414" cy="4783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b="0">
              <a:solidFill>
                <a:sysClr val="windowText" lastClr="000000"/>
              </a:solidFill>
            </a:rPr>
            <a:t>551</a:t>
          </a:r>
        </a:p>
      </xdr:txBody>
    </xdr:sp>
    <xdr:clientData/>
  </xdr:twoCellAnchor>
  <xdr:twoCellAnchor>
    <xdr:from>
      <xdr:col>6</xdr:col>
      <xdr:colOff>146539</xdr:colOff>
      <xdr:row>58</xdr:row>
      <xdr:rowOff>17583</xdr:rowOff>
    </xdr:from>
    <xdr:to>
      <xdr:col>9</xdr:col>
      <xdr:colOff>58618</xdr:colOff>
      <xdr:row>58</xdr:row>
      <xdr:rowOff>187569</xdr:rowOff>
    </xdr:to>
    <xdr:sp macro="" textlink="">
      <xdr:nvSpPr>
        <xdr:cNvPr id="35" name="Right Brace 34">
          <a:extLst>
            <a:ext uri="{FF2B5EF4-FFF2-40B4-BE49-F238E27FC236}">
              <a16:creationId xmlns:a16="http://schemas.microsoft.com/office/drawing/2014/main" id="{BEB59AF0-E19A-4CD3-943D-E2BD7F23A568}"/>
            </a:ext>
          </a:extLst>
        </xdr:cNvPr>
        <xdr:cNvSpPr/>
      </xdr:nvSpPr>
      <xdr:spPr>
        <a:xfrm rot="16200000">
          <a:off x="5923086" y="10433536"/>
          <a:ext cx="169986" cy="1923759"/>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16</xdr:col>
      <xdr:colOff>70339</xdr:colOff>
      <xdr:row>6</xdr:row>
      <xdr:rowOff>164127</xdr:rowOff>
    </xdr:from>
    <xdr:to>
      <xdr:col>16</xdr:col>
      <xdr:colOff>433753</xdr:colOff>
      <xdr:row>8</xdr:row>
      <xdr:rowOff>46896</xdr:rowOff>
    </xdr:to>
    <xdr:sp macro="" textlink="">
      <xdr:nvSpPr>
        <xdr:cNvPr id="36" name="Rectangle 35">
          <a:extLst>
            <a:ext uri="{FF2B5EF4-FFF2-40B4-BE49-F238E27FC236}">
              <a16:creationId xmlns:a16="http://schemas.microsoft.com/office/drawing/2014/main" id="{8D7DEC7A-5446-44EC-89B6-8FCD5CD1BB52}"/>
            </a:ext>
          </a:extLst>
        </xdr:cNvPr>
        <xdr:cNvSpPr/>
      </xdr:nvSpPr>
      <xdr:spPr>
        <a:xfrm>
          <a:off x="11660359" y="1352847"/>
          <a:ext cx="363414" cy="2790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b="0">
              <a:solidFill>
                <a:sysClr val="windowText" lastClr="000000"/>
              </a:solidFill>
            </a:rPr>
            <a:t>588</a:t>
          </a:r>
        </a:p>
      </xdr:txBody>
    </xdr:sp>
    <xdr:clientData/>
  </xdr:twoCellAnchor>
  <xdr:twoCellAnchor>
    <xdr:from>
      <xdr:col>14</xdr:col>
      <xdr:colOff>543381</xdr:colOff>
      <xdr:row>7</xdr:row>
      <xdr:rowOff>153774</xdr:rowOff>
    </xdr:from>
    <xdr:to>
      <xdr:col>17</xdr:col>
      <xdr:colOff>455460</xdr:colOff>
      <xdr:row>8</xdr:row>
      <xdr:rowOff>77573</xdr:rowOff>
    </xdr:to>
    <xdr:sp macro="" textlink="">
      <xdr:nvSpPr>
        <xdr:cNvPr id="37" name="Right Brace 36">
          <a:extLst>
            <a:ext uri="{FF2B5EF4-FFF2-40B4-BE49-F238E27FC236}">
              <a16:creationId xmlns:a16="http://schemas.microsoft.com/office/drawing/2014/main" id="{D07E67FA-E4F2-4CB1-878C-02A7CDCBBE2A}"/>
            </a:ext>
          </a:extLst>
        </xdr:cNvPr>
        <xdr:cNvSpPr/>
      </xdr:nvSpPr>
      <xdr:spPr>
        <a:xfrm rot="16200000">
          <a:off x="12202607" y="654123"/>
          <a:ext cx="118352" cy="1906249"/>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338666</xdr:colOff>
      <xdr:row>75</xdr:row>
      <xdr:rowOff>112889</xdr:rowOff>
    </xdr:from>
    <xdr:to>
      <xdr:col>22</xdr:col>
      <xdr:colOff>1142874</xdr:colOff>
      <xdr:row>103</xdr:row>
      <xdr:rowOff>80042</xdr:rowOff>
    </xdr:to>
    <xdr:graphicFrame macro="">
      <xdr:nvGraphicFramePr>
        <xdr:cNvPr id="39" name="Chart 38">
          <a:extLst>
            <a:ext uri="{FF2B5EF4-FFF2-40B4-BE49-F238E27FC236}">
              <a16:creationId xmlns:a16="http://schemas.microsoft.com/office/drawing/2014/main" id="{05737C35-03D2-4B3F-8381-C7751C246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ventory%20T59-%20Public%20Private%20FM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48731\Desktop\Inventory%20July%202024\BREADCRUMB%20-%20inventory%20of%20standards\T1.3_BREADCRUMB_Inventory_Public%20and%20Private%20Food%20Marketing%20Standards_August%2029_np.xlsx" TargetMode="External"/><Relationship Id="rId1" Type="http://schemas.openxmlformats.org/officeDocument/2006/relationships/externalLinkPath" Target="file:///C:\Users\48731\Desktop\Inventory%20July%202024\BREADCRUMB%20-%20inventory%20of%20standards\T1.3_BREADCRUMB_Inventory_Public%20and%20Private%20Food%20Marketing%20Standards_August%2029_n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T59- Public Private 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ossary"/>
      <sheetName val="Reporting Template T1.3"/>
      <sheetName val="General"/>
      <sheetName val="Country-specific"/>
      <sheetName val="Graphs"/>
      <sheetName val="Change log"/>
    </sheetNames>
    <sheetDataSet>
      <sheetData sheetId="0"/>
      <sheetData sheetId="1">
        <row r="17">
          <cell r="L17" t="str">
            <v>Public</v>
          </cell>
        </row>
        <row r="18">
          <cell r="L18" t="str">
            <v>Public</v>
          </cell>
        </row>
        <row r="19">
          <cell r="L19" t="str">
            <v>Public</v>
          </cell>
        </row>
        <row r="20">
          <cell r="L20" t="str">
            <v>Public</v>
          </cell>
        </row>
        <row r="21">
          <cell r="L21" t="str">
            <v>Public</v>
          </cell>
        </row>
        <row r="22">
          <cell r="L22" t="str">
            <v>Public</v>
          </cell>
        </row>
        <row r="23">
          <cell r="L23" t="str">
            <v>Public</v>
          </cell>
        </row>
        <row r="24">
          <cell r="L24" t="str">
            <v>Public</v>
          </cell>
        </row>
        <row r="25">
          <cell r="L25" t="str">
            <v>Private</v>
          </cell>
        </row>
        <row r="26">
          <cell r="L26" t="str">
            <v>Public</v>
          </cell>
        </row>
        <row r="27">
          <cell r="L27" t="str">
            <v>Public</v>
          </cell>
        </row>
        <row r="28">
          <cell r="L28" t="str">
            <v>Private</v>
          </cell>
        </row>
        <row r="29">
          <cell r="L29" t="str">
            <v>Private</v>
          </cell>
        </row>
        <row r="30">
          <cell r="L30" t="str">
            <v>Private</v>
          </cell>
        </row>
        <row r="31">
          <cell r="L31" t="str">
            <v>Private</v>
          </cell>
        </row>
        <row r="32">
          <cell r="L32" t="str">
            <v>Private</v>
          </cell>
        </row>
        <row r="33">
          <cell r="L33" t="str">
            <v>Private</v>
          </cell>
        </row>
        <row r="34">
          <cell r="L34" t="str">
            <v>Private</v>
          </cell>
        </row>
        <row r="35">
          <cell r="L35" t="str">
            <v>Private</v>
          </cell>
        </row>
        <row r="36">
          <cell r="L36" t="str">
            <v>Private</v>
          </cell>
        </row>
        <row r="37">
          <cell r="L37" t="str">
            <v>Private</v>
          </cell>
        </row>
        <row r="38">
          <cell r="L38" t="str">
            <v>Private</v>
          </cell>
        </row>
        <row r="39">
          <cell r="L39" t="str">
            <v>Private</v>
          </cell>
        </row>
        <row r="40">
          <cell r="L40" t="str">
            <v>Public</v>
          </cell>
        </row>
        <row r="41">
          <cell r="L41" t="str">
            <v>Private</v>
          </cell>
        </row>
        <row r="42">
          <cell r="L42" t="str">
            <v>Public</v>
          </cell>
        </row>
        <row r="43">
          <cell r="L43" t="str">
            <v>Private</v>
          </cell>
        </row>
        <row r="44">
          <cell r="L44" t="str">
            <v>Public</v>
          </cell>
        </row>
        <row r="45">
          <cell r="L45" t="str">
            <v>Private</v>
          </cell>
        </row>
        <row r="46">
          <cell r="L46" t="str">
            <v>Public</v>
          </cell>
        </row>
        <row r="47">
          <cell r="L47" t="str">
            <v>Private</v>
          </cell>
        </row>
        <row r="48">
          <cell r="L48" t="str">
            <v>Public</v>
          </cell>
        </row>
        <row r="49">
          <cell r="L49" t="str">
            <v>Private</v>
          </cell>
        </row>
        <row r="50">
          <cell r="L50" t="str">
            <v>Private</v>
          </cell>
        </row>
        <row r="51">
          <cell r="L51" t="str">
            <v>Private</v>
          </cell>
        </row>
        <row r="52">
          <cell r="L52" t="str">
            <v>Private</v>
          </cell>
        </row>
        <row r="53">
          <cell r="L53" t="str">
            <v>Private</v>
          </cell>
        </row>
        <row r="54">
          <cell r="L54" t="str">
            <v>Private</v>
          </cell>
        </row>
        <row r="55">
          <cell r="L55" t="str">
            <v>Private</v>
          </cell>
        </row>
        <row r="56">
          <cell r="L56" t="str">
            <v>Private</v>
          </cell>
        </row>
        <row r="57">
          <cell r="L57" t="str">
            <v>Private</v>
          </cell>
        </row>
        <row r="58">
          <cell r="L58" t="str">
            <v>Private</v>
          </cell>
        </row>
        <row r="59">
          <cell r="L59" t="str">
            <v>Private</v>
          </cell>
        </row>
        <row r="60">
          <cell r="L60" t="str">
            <v>Private</v>
          </cell>
        </row>
        <row r="61">
          <cell r="L61" t="str">
            <v>Private</v>
          </cell>
        </row>
        <row r="62">
          <cell r="L62" t="str">
            <v>Private</v>
          </cell>
        </row>
        <row r="63">
          <cell r="L63" t="str">
            <v>Private</v>
          </cell>
        </row>
        <row r="64">
          <cell r="L64" t="str">
            <v>Private</v>
          </cell>
        </row>
        <row r="65">
          <cell r="L65" t="str">
            <v>Private</v>
          </cell>
        </row>
        <row r="66">
          <cell r="L66" t="str">
            <v>Private</v>
          </cell>
        </row>
        <row r="67">
          <cell r="L67" t="str">
            <v>Private</v>
          </cell>
        </row>
        <row r="68">
          <cell r="L68" t="str">
            <v>Private</v>
          </cell>
        </row>
        <row r="69">
          <cell r="L69" t="str">
            <v>Private</v>
          </cell>
        </row>
        <row r="70">
          <cell r="L70" t="str">
            <v>Private</v>
          </cell>
        </row>
        <row r="71">
          <cell r="L71" t="str">
            <v>Private</v>
          </cell>
        </row>
        <row r="72">
          <cell r="L72" t="str">
            <v>Private</v>
          </cell>
        </row>
        <row r="73">
          <cell r="L73" t="str">
            <v>Private</v>
          </cell>
        </row>
        <row r="74">
          <cell r="L74" t="str">
            <v>Public</v>
          </cell>
        </row>
        <row r="75">
          <cell r="L75" t="str">
            <v>Public</v>
          </cell>
        </row>
        <row r="76">
          <cell r="L76" t="str">
            <v>Public</v>
          </cell>
        </row>
        <row r="77">
          <cell r="L77" t="str">
            <v>Public</v>
          </cell>
        </row>
        <row r="78">
          <cell r="L78" t="str">
            <v>Public</v>
          </cell>
        </row>
        <row r="79">
          <cell r="L79" t="str">
            <v>Public</v>
          </cell>
        </row>
        <row r="80">
          <cell r="L80" t="str">
            <v>Public</v>
          </cell>
        </row>
        <row r="81">
          <cell r="L81" t="str">
            <v>Public</v>
          </cell>
        </row>
        <row r="82">
          <cell r="L82" t="str">
            <v>Public</v>
          </cell>
        </row>
        <row r="83">
          <cell r="L83" t="str">
            <v>Public</v>
          </cell>
        </row>
        <row r="84">
          <cell r="L84" t="str">
            <v>Public</v>
          </cell>
        </row>
        <row r="85">
          <cell r="L85" t="str">
            <v>Public</v>
          </cell>
        </row>
        <row r="86">
          <cell r="L86" t="str">
            <v>Public</v>
          </cell>
        </row>
        <row r="87">
          <cell r="L87" t="str">
            <v>Public</v>
          </cell>
        </row>
        <row r="88">
          <cell r="L88" t="str">
            <v>Public</v>
          </cell>
        </row>
        <row r="89">
          <cell r="L89" t="str">
            <v>Public</v>
          </cell>
        </row>
        <row r="90">
          <cell r="L90" t="str">
            <v>Public</v>
          </cell>
        </row>
        <row r="91">
          <cell r="L91" t="str">
            <v>Public</v>
          </cell>
        </row>
        <row r="92">
          <cell r="L92" t="str">
            <v>Public</v>
          </cell>
        </row>
        <row r="93">
          <cell r="L93" t="str">
            <v>Public</v>
          </cell>
        </row>
        <row r="94">
          <cell r="L94" t="str">
            <v>Public</v>
          </cell>
        </row>
        <row r="95">
          <cell r="L95" t="str">
            <v>Public</v>
          </cell>
        </row>
        <row r="96">
          <cell r="L96" t="str">
            <v>Public</v>
          </cell>
        </row>
        <row r="97">
          <cell r="L97" t="str">
            <v>Public</v>
          </cell>
        </row>
        <row r="98">
          <cell r="L98" t="str">
            <v>Public</v>
          </cell>
        </row>
        <row r="99">
          <cell r="L99" t="str">
            <v>Public</v>
          </cell>
        </row>
        <row r="100">
          <cell r="L100" t="str">
            <v>Public</v>
          </cell>
        </row>
        <row r="101">
          <cell r="L101" t="str">
            <v>Public</v>
          </cell>
        </row>
        <row r="102">
          <cell r="L102" t="str">
            <v>Public</v>
          </cell>
        </row>
        <row r="103">
          <cell r="L103" t="str">
            <v>Public</v>
          </cell>
        </row>
        <row r="104">
          <cell r="L104" t="str">
            <v>Public</v>
          </cell>
        </row>
        <row r="105">
          <cell r="L105" t="str">
            <v>Public</v>
          </cell>
        </row>
        <row r="106">
          <cell r="L106" t="str">
            <v>Public</v>
          </cell>
        </row>
        <row r="107">
          <cell r="L107" t="str">
            <v>Public</v>
          </cell>
        </row>
        <row r="108">
          <cell r="L108" t="str">
            <v>Public</v>
          </cell>
        </row>
        <row r="109">
          <cell r="L109" t="str">
            <v>Public</v>
          </cell>
        </row>
        <row r="110">
          <cell r="L110" t="str">
            <v>Public</v>
          </cell>
        </row>
        <row r="111">
          <cell r="L111" t="str">
            <v>Public</v>
          </cell>
        </row>
        <row r="112">
          <cell r="L112" t="str">
            <v>Public</v>
          </cell>
        </row>
        <row r="113">
          <cell r="L113" t="str">
            <v>Public</v>
          </cell>
        </row>
        <row r="114">
          <cell r="L114" t="str">
            <v>Public</v>
          </cell>
        </row>
        <row r="115">
          <cell r="L115" t="str">
            <v>Public</v>
          </cell>
        </row>
        <row r="116">
          <cell r="L116" t="str">
            <v>Public</v>
          </cell>
        </row>
        <row r="117">
          <cell r="L117" t="str">
            <v>Public</v>
          </cell>
        </row>
        <row r="118">
          <cell r="L118" t="str">
            <v>Public</v>
          </cell>
        </row>
        <row r="119">
          <cell r="L119" t="str">
            <v>Public</v>
          </cell>
        </row>
        <row r="120">
          <cell r="L120" t="str">
            <v>Public</v>
          </cell>
        </row>
        <row r="121">
          <cell r="L121" t="str">
            <v>Public</v>
          </cell>
        </row>
        <row r="122">
          <cell r="L122" t="str">
            <v>Public</v>
          </cell>
        </row>
        <row r="123">
          <cell r="L123" t="str">
            <v>Public</v>
          </cell>
        </row>
        <row r="124">
          <cell r="L124" t="str">
            <v>Public</v>
          </cell>
        </row>
        <row r="125">
          <cell r="L125" t="str">
            <v>Public</v>
          </cell>
        </row>
        <row r="126">
          <cell r="L126" t="str">
            <v>Public</v>
          </cell>
        </row>
        <row r="127">
          <cell r="L127" t="str">
            <v>Public</v>
          </cell>
        </row>
        <row r="128">
          <cell r="L128" t="str">
            <v>Public</v>
          </cell>
        </row>
        <row r="129">
          <cell r="L129" t="str">
            <v>Public</v>
          </cell>
        </row>
        <row r="130">
          <cell r="L130" t="str">
            <v>Public</v>
          </cell>
        </row>
        <row r="131">
          <cell r="L131" t="str">
            <v>Public</v>
          </cell>
        </row>
        <row r="132">
          <cell r="L132" t="str">
            <v>Public</v>
          </cell>
        </row>
        <row r="133">
          <cell r="L133" t="str">
            <v>Public</v>
          </cell>
        </row>
        <row r="134">
          <cell r="L134" t="str">
            <v>Public</v>
          </cell>
        </row>
        <row r="135">
          <cell r="L135" t="str">
            <v>Public</v>
          </cell>
        </row>
        <row r="136">
          <cell r="L136" t="str">
            <v>Public</v>
          </cell>
        </row>
        <row r="137">
          <cell r="L137" t="str">
            <v>Public</v>
          </cell>
        </row>
        <row r="138">
          <cell r="L138" t="str">
            <v>Public</v>
          </cell>
        </row>
        <row r="139">
          <cell r="L139" t="str">
            <v>Public</v>
          </cell>
        </row>
        <row r="140">
          <cell r="L140" t="str">
            <v>Public</v>
          </cell>
        </row>
        <row r="141">
          <cell r="L141" t="str">
            <v>Public</v>
          </cell>
        </row>
        <row r="142">
          <cell r="L142" t="str">
            <v>Public</v>
          </cell>
        </row>
        <row r="143">
          <cell r="L143" t="str">
            <v>Public</v>
          </cell>
        </row>
        <row r="144">
          <cell r="L144" t="str">
            <v>Public</v>
          </cell>
        </row>
        <row r="145">
          <cell r="L145" t="str">
            <v>Public</v>
          </cell>
        </row>
        <row r="146">
          <cell r="L146" t="str">
            <v>Public</v>
          </cell>
        </row>
        <row r="147">
          <cell r="L147" t="str">
            <v>Public</v>
          </cell>
        </row>
        <row r="148">
          <cell r="L148" t="str">
            <v>Public</v>
          </cell>
        </row>
        <row r="149">
          <cell r="L149" t="str">
            <v>Public</v>
          </cell>
        </row>
        <row r="150">
          <cell r="L150" t="str">
            <v>Public</v>
          </cell>
        </row>
        <row r="151">
          <cell r="L151" t="str">
            <v>Public</v>
          </cell>
        </row>
        <row r="152">
          <cell r="L152" t="str">
            <v>Public</v>
          </cell>
        </row>
        <row r="153">
          <cell r="L153" t="str">
            <v>Public</v>
          </cell>
        </row>
        <row r="154">
          <cell r="L154" t="str">
            <v>Public</v>
          </cell>
        </row>
        <row r="155">
          <cell r="L155" t="str">
            <v>Public</v>
          </cell>
        </row>
        <row r="156">
          <cell r="L156" t="str">
            <v>Public</v>
          </cell>
        </row>
        <row r="157">
          <cell r="L157" t="str">
            <v>Public</v>
          </cell>
        </row>
        <row r="158">
          <cell r="L158" t="str">
            <v>Public</v>
          </cell>
        </row>
        <row r="159">
          <cell r="L159" t="str">
            <v>Public</v>
          </cell>
        </row>
        <row r="160">
          <cell r="L160" t="str">
            <v>Public</v>
          </cell>
        </row>
        <row r="161">
          <cell r="L161" t="str">
            <v>Public</v>
          </cell>
        </row>
        <row r="162">
          <cell r="L162" t="str">
            <v>Public</v>
          </cell>
        </row>
        <row r="163">
          <cell r="L163" t="str">
            <v>Public</v>
          </cell>
        </row>
        <row r="164">
          <cell r="L164" t="str">
            <v>Public</v>
          </cell>
        </row>
        <row r="165">
          <cell r="L165" t="str">
            <v>Public</v>
          </cell>
        </row>
        <row r="166">
          <cell r="L166" t="str">
            <v>Public</v>
          </cell>
        </row>
        <row r="167">
          <cell r="L167" t="str">
            <v>Public</v>
          </cell>
        </row>
        <row r="168">
          <cell r="L168" t="str">
            <v>Public</v>
          </cell>
        </row>
        <row r="169">
          <cell r="L169" t="str">
            <v>Public</v>
          </cell>
        </row>
        <row r="170">
          <cell r="L170" t="str">
            <v>Public</v>
          </cell>
        </row>
        <row r="171">
          <cell r="L171" t="str">
            <v>Public</v>
          </cell>
        </row>
        <row r="172">
          <cell r="L172" t="str">
            <v>Public</v>
          </cell>
        </row>
        <row r="173">
          <cell r="L173" t="str">
            <v>Public</v>
          </cell>
        </row>
        <row r="174">
          <cell r="L174" t="str">
            <v>Public</v>
          </cell>
        </row>
        <row r="175">
          <cell r="L175" t="str">
            <v>Public</v>
          </cell>
        </row>
        <row r="176">
          <cell r="L176" t="str">
            <v>Public</v>
          </cell>
        </row>
        <row r="177">
          <cell r="L177" t="str">
            <v>Public</v>
          </cell>
        </row>
        <row r="178">
          <cell r="L178" t="str">
            <v>Public</v>
          </cell>
        </row>
        <row r="179">
          <cell r="L179" t="str">
            <v>Public</v>
          </cell>
        </row>
        <row r="180">
          <cell r="L180" t="str">
            <v>Public</v>
          </cell>
        </row>
        <row r="181">
          <cell r="L181" t="str">
            <v>Public</v>
          </cell>
        </row>
        <row r="182">
          <cell r="L182" t="str">
            <v>Public</v>
          </cell>
        </row>
        <row r="183">
          <cell r="L183" t="str">
            <v>Public</v>
          </cell>
        </row>
        <row r="184">
          <cell r="L184" t="str">
            <v>Public</v>
          </cell>
        </row>
        <row r="185">
          <cell r="L185" t="str">
            <v>Public</v>
          </cell>
        </row>
        <row r="186">
          <cell r="L186" t="str">
            <v>Public</v>
          </cell>
        </row>
        <row r="187">
          <cell r="L187" t="str">
            <v>Public</v>
          </cell>
        </row>
        <row r="188">
          <cell r="L188" t="str">
            <v>Public</v>
          </cell>
        </row>
        <row r="189">
          <cell r="L189" t="str">
            <v>Public</v>
          </cell>
        </row>
        <row r="190">
          <cell r="L190" t="str">
            <v>Public</v>
          </cell>
        </row>
        <row r="191">
          <cell r="L191" t="str">
            <v>Public</v>
          </cell>
        </row>
        <row r="192">
          <cell r="L192" t="str">
            <v>Public</v>
          </cell>
        </row>
        <row r="193">
          <cell r="L193" t="str">
            <v>Public</v>
          </cell>
        </row>
        <row r="194">
          <cell r="L194" t="str">
            <v>Public</v>
          </cell>
        </row>
        <row r="195">
          <cell r="L195" t="str">
            <v>Public</v>
          </cell>
        </row>
        <row r="196">
          <cell r="L196" t="str">
            <v>Public</v>
          </cell>
        </row>
        <row r="197">
          <cell r="L197" t="str">
            <v>Public</v>
          </cell>
        </row>
        <row r="198">
          <cell r="L198" t="str">
            <v>Public</v>
          </cell>
        </row>
        <row r="199">
          <cell r="L199" t="str">
            <v>Public</v>
          </cell>
        </row>
        <row r="200">
          <cell r="L200" t="str">
            <v>Public</v>
          </cell>
        </row>
        <row r="201">
          <cell r="L201" t="str">
            <v>Public</v>
          </cell>
        </row>
        <row r="202">
          <cell r="L202" t="str">
            <v>Public</v>
          </cell>
        </row>
        <row r="203">
          <cell r="L203" t="str">
            <v>Public</v>
          </cell>
        </row>
        <row r="204">
          <cell r="L204" t="str">
            <v>Public</v>
          </cell>
        </row>
        <row r="205">
          <cell r="L205" t="str">
            <v>Public</v>
          </cell>
        </row>
        <row r="206">
          <cell r="L206" t="str">
            <v>Public</v>
          </cell>
        </row>
        <row r="207">
          <cell r="L207" t="str">
            <v>Public</v>
          </cell>
        </row>
        <row r="208">
          <cell r="L208" t="str">
            <v>Public</v>
          </cell>
        </row>
        <row r="209">
          <cell r="L209" t="str">
            <v>Public</v>
          </cell>
        </row>
        <row r="210">
          <cell r="L210" t="str">
            <v>Public</v>
          </cell>
        </row>
        <row r="211">
          <cell r="L211" t="str">
            <v>Public</v>
          </cell>
        </row>
        <row r="212">
          <cell r="L212" t="str">
            <v>Public</v>
          </cell>
        </row>
        <row r="213">
          <cell r="L213" t="str">
            <v>Public</v>
          </cell>
        </row>
        <row r="214">
          <cell r="L214" t="str">
            <v>Public</v>
          </cell>
        </row>
        <row r="215">
          <cell r="L215" t="str">
            <v>Public</v>
          </cell>
        </row>
        <row r="216">
          <cell r="L216" t="str">
            <v>Public</v>
          </cell>
        </row>
        <row r="217">
          <cell r="L217" t="str">
            <v>Public</v>
          </cell>
        </row>
        <row r="218">
          <cell r="L218" t="str">
            <v>Public</v>
          </cell>
        </row>
        <row r="219">
          <cell r="L219" t="str">
            <v>Public</v>
          </cell>
        </row>
        <row r="220">
          <cell r="L220" t="str">
            <v>Public</v>
          </cell>
        </row>
        <row r="221">
          <cell r="L221" t="str">
            <v>Public</v>
          </cell>
        </row>
        <row r="222">
          <cell r="L222" t="str">
            <v>Public</v>
          </cell>
        </row>
        <row r="223">
          <cell r="L223" t="str">
            <v>Public</v>
          </cell>
        </row>
        <row r="224">
          <cell r="L224" t="str">
            <v>Public</v>
          </cell>
        </row>
        <row r="225">
          <cell r="L225" t="str">
            <v>Public</v>
          </cell>
        </row>
        <row r="226">
          <cell r="L226" t="str">
            <v>Public</v>
          </cell>
        </row>
        <row r="227">
          <cell r="L227" t="str">
            <v>Public</v>
          </cell>
        </row>
        <row r="228">
          <cell r="L228" t="str">
            <v>Public</v>
          </cell>
        </row>
        <row r="229">
          <cell r="L229" t="str">
            <v>Public</v>
          </cell>
        </row>
        <row r="230">
          <cell r="L230" t="str">
            <v>Public</v>
          </cell>
        </row>
        <row r="231">
          <cell r="L231" t="str">
            <v>Public</v>
          </cell>
        </row>
        <row r="232">
          <cell r="L232" t="str">
            <v>Public</v>
          </cell>
        </row>
        <row r="233">
          <cell r="L233" t="str">
            <v>Public</v>
          </cell>
        </row>
        <row r="234">
          <cell r="L234" t="str">
            <v>Public</v>
          </cell>
        </row>
        <row r="235">
          <cell r="L235" t="str">
            <v>Public</v>
          </cell>
        </row>
        <row r="236">
          <cell r="L236" t="str">
            <v>Public</v>
          </cell>
        </row>
        <row r="237">
          <cell r="L237" t="str">
            <v>Public</v>
          </cell>
        </row>
        <row r="238">
          <cell r="L238" t="str">
            <v>Public</v>
          </cell>
        </row>
        <row r="239">
          <cell r="L239" t="str">
            <v>Public</v>
          </cell>
        </row>
        <row r="240">
          <cell r="L240" t="str">
            <v>Public</v>
          </cell>
        </row>
        <row r="241">
          <cell r="L241" t="str">
            <v>Public</v>
          </cell>
        </row>
        <row r="242">
          <cell r="L242" t="str">
            <v>Public</v>
          </cell>
        </row>
        <row r="243">
          <cell r="L243" t="str">
            <v>Public</v>
          </cell>
        </row>
        <row r="244">
          <cell r="L244" t="str">
            <v>Public</v>
          </cell>
        </row>
        <row r="245">
          <cell r="L245" t="str">
            <v>Public</v>
          </cell>
        </row>
        <row r="246">
          <cell r="L246" t="str">
            <v>Public</v>
          </cell>
        </row>
        <row r="247">
          <cell r="L247" t="str">
            <v>Public</v>
          </cell>
        </row>
        <row r="248">
          <cell r="L248" t="str">
            <v>Public</v>
          </cell>
        </row>
        <row r="249">
          <cell r="L249" t="str">
            <v>Public</v>
          </cell>
        </row>
        <row r="250">
          <cell r="L250" t="str">
            <v>Public</v>
          </cell>
        </row>
        <row r="251">
          <cell r="L251" t="str">
            <v>Public</v>
          </cell>
        </row>
        <row r="252">
          <cell r="L252" t="str">
            <v>Public</v>
          </cell>
        </row>
        <row r="253">
          <cell r="L253" t="str">
            <v>Public</v>
          </cell>
        </row>
        <row r="254">
          <cell r="L254" t="str">
            <v>Public</v>
          </cell>
        </row>
        <row r="255">
          <cell r="L255" t="str">
            <v>Public</v>
          </cell>
        </row>
        <row r="256">
          <cell r="L256" t="str">
            <v>Public</v>
          </cell>
        </row>
        <row r="257">
          <cell r="L257" t="str">
            <v>Public</v>
          </cell>
        </row>
        <row r="258">
          <cell r="L258" t="str">
            <v>Public</v>
          </cell>
        </row>
        <row r="259">
          <cell r="L259" t="str">
            <v>Public</v>
          </cell>
        </row>
        <row r="260">
          <cell r="L260" t="str">
            <v>Public</v>
          </cell>
        </row>
        <row r="261">
          <cell r="L261" t="str">
            <v>Public</v>
          </cell>
        </row>
        <row r="262">
          <cell r="L262" t="str">
            <v>Public</v>
          </cell>
        </row>
        <row r="263">
          <cell r="L263" t="str">
            <v>Public</v>
          </cell>
        </row>
        <row r="264">
          <cell r="L264" t="str">
            <v>Public</v>
          </cell>
        </row>
        <row r="265">
          <cell r="L265" t="str">
            <v>Public</v>
          </cell>
        </row>
        <row r="266">
          <cell r="L266" t="str">
            <v>Public</v>
          </cell>
        </row>
        <row r="267">
          <cell r="L267" t="str">
            <v>Public</v>
          </cell>
        </row>
        <row r="268">
          <cell r="L268" t="str">
            <v>Public</v>
          </cell>
        </row>
        <row r="269">
          <cell r="L269" t="str">
            <v>Public</v>
          </cell>
        </row>
        <row r="270">
          <cell r="L270" t="str">
            <v>Public</v>
          </cell>
        </row>
        <row r="271">
          <cell r="L271" t="str">
            <v>Public</v>
          </cell>
        </row>
        <row r="272">
          <cell r="L272" t="str">
            <v>Public</v>
          </cell>
        </row>
        <row r="273">
          <cell r="L273" t="str">
            <v>Public</v>
          </cell>
        </row>
        <row r="274">
          <cell r="L274" t="str">
            <v>Public</v>
          </cell>
        </row>
        <row r="275">
          <cell r="L275" t="str">
            <v>Public</v>
          </cell>
        </row>
        <row r="276">
          <cell r="L276" t="str">
            <v>Public</v>
          </cell>
        </row>
        <row r="277">
          <cell r="L277" t="str">
            <v>Public</v>
          </cell>
        </row>
        <row r="278">
          <cell r="L278" t="str">
            <v>Public</v>
          </cell>
        </row>
        <row r="279">
          <cell r="L279" t="str">
            <v>Public</v>
          </cell>
        </row>
        <row r="280">
          <cell r="L280" t="str">
            <v>Public</v>
          </cell>
        </row>
        <row r="281">
          <cell r="L281" t="str">
            <v>Public</v>
          </cell>
        </row>
        <row r="282">
          <cell r="L282" t="str">
            <v>Public</v>
          </cell>
        </row>
        <row r="283">
          <cell r="L283" t="str">
            <v>Public</v>
          </cell>
        </row>
        <row r="284">
          <cell r="L284" t="str">
            <v>Public</v>
          </cell>
        </row>
        <row r="285">
          <cell r="L285" t="str">
            <v>Public</v>
          </cell>
        </row>
        <row r="286">
          <cell r="L286" t="str">
            <v>Public</v>
          </cell>
        </row>
        <row r="287">
          <cell r="L287" t="str">
            <v>Public</v>
          </cell>
        </row>
        <row r="288">
          <cell r="L288" t="str">
            <v>Public</v>
          </cell>
        </row>
        <row r="289">
          <cell r="L289" t="str">
            <v>Public</v>
          </cell>
        </row>
        <row r="290">
          <cell r="L290" t="str">
            <v>Public</v>
          </cell>
        </row>
        <row r="291">
          <cell r="L291" t="str">
            <v>Public</v>
          </cell>
        </row>
        <row r="292">
          <cell r="L292" t="str">
            <v>Public</v>
          </cell>
        </row>
        <row r="293">
          <cell r="L293" t="str">
            <v>Public</v>
          </cell>
        </row>
        <row r="294">
          <cell r="L294" t="str">
            <v>Public</v>
          </cell>
        </row>
        <row r="295">
          <cell r="L295" t="str">
            <v>Public</v>
          </cell>
        </row>
        <row r="296">
          <cell r="L296" t="str">
            <v>Public</v>
          </cell>
        </row>
        <row r="297">
          <cell r="L297" t="str">
            <v>Public</v>
          </cell>
        </row>
        <row r="298">
          <cell r="L298" t="str">
            <v>Public</v>
          </cell>
        </row>
        <row r="299">
          <cell r="L299" t="str">
            <v>Public</v>
          </cell>
        </row>
        <row r="300">
          <cell r="L300" t="str">
            <v>Public</v>
          </cell>
        </row>
        <row r="301">
          <cell r="L301" t="str">
            <v>Public</v>
          </cell>
        </row>
        <row r="302">
          <cell r="L302" t="str">
            <v>Public</v>
          </cell>
        </row>
        <row r="303">
          <cell r="L303" t="str">
            <v>Public</v>
          </cell>
        </row>
        <row r="304">
          <cell r="L304" t="str">
            <v>Public</v>
          </cell>
        </row>
        <row r="305">
          <cell r="L305" t="str">
            <v>Public</v>
          </cell>
        </row>
        <row r="306">
          <cell r="L306" t="str">
            <v>Public</v>
          </cell>
        </row>
        <row r="307">
          <cell r="L307" t="str">
            <v>Public</v>
          </cell>
        </row>
        <row r="308">
          <cell r="L308" t="str">
            <v>Public</v>
          </cell>
        </row>
        <row r="309">
          <cell r="L309" t="str">
            <v>Public</v>
          </cell>
        </row>
        <row r="310">
          <cell r="L310" t="str">
            <v>Public</v>
          </cell>
        </row>
        <row r="311">
          <cell r="L311" t="str">
            <v>Public</v>
          </cell>
        </row>
        <row r="312">
          <cell r="L312" t="str">
            <v>Public</v>
          </cell>
        </row>
        <row r="313">
          <cell r="L313" t="str">
            <v>Public</v>
          </cell>
        </row>
        <row r="314">
          <cell r="L314" t="str">
            <v>Public</v>
          </cell>
        </row>
        <row r="315">
          <cell r="L315" t="str">
            <v>Public</v>
          </cell>
        </row>
        <row r="316">
          <cell r="L316" t="str">
            <v>Public</v>
          </cell>
        </row>
        <row r="317">
          <cell r="L317" t="str">
            <v>Public</v>
          </cell>
        </row>
        <row r="318">
          <cell r="L318" t="str">
            <v>Public</v>
          </cell>
        </row>
        <row r="319">
          <cell r="L319" t="str">
            <v>Public</v>
          </cell>
        </row>
        <row r="320">
          <cell r="L320" t="str">
            <v>Public</v>
          </cell>
        </row>
        <row r="321">
          <cell r="L321" t="str">
            <v>Public</v>
          </cell>
        </row>
        <row r="322">
          <cell r="L322" t="str">
            <v>Public</v>
          </cell>
        </row>
        <row r="323">
          <cell r="L323" t="str">
            <v>Public</v>
          </cell>
        </row>
        <row r="324">
          <cell r="L324" t="str">
            <v>Public</v>
          </cell>
        </row>
        <row r="325">
          <cell r="L325" t="str">
            <v>Public</v>
          </cell>
        </row>
        <row r="326">
          <cell r="L326" t="str">
            <v>Public</v>
          </cell>
        </row>
        <row r="327">
          <cell r="L327" t="str">
            <v>Public</v>
          </cell>
        </row>
        <row r="328">
          <cell r="L328" t="str">
            <v>Public</v>
          </cell>
        </row>
        <row r="329">
          <cell r="L329" t="str">
            <v>Public</v>
          </cell>
        </row>
        <row r="330">
          <cell r="L330" t="str">
            <v>Public</v>
          </cell>
        </row>
        <row r="331">
          <cell r="L331" t="str">
            <v>Public</v>
          </cell>
        </row>
        <row r="332">
          <cell r="L332" t="str">
            <v>Public</v>
          </cell>
        </row>
        <row r="333">
          <cell r="L333" t="str">
            <v>Public</v>
          </cell>
        </row>
        <row r="334">
          <cell r="L334" t="str">
            <v>Public</v>
          </cell>
        </row>
        <row r="335">
          <cell r="L335" t="str">
            <v>Public</v>
          </cell>
        </row>
        <row r="336">
          <cell r="L336" t="str">
            <v>Public</v>
          </cell>
        </row>
        <row r="337">
          <cell r="L337" t="str">
            <v>Public</v>
          </cell>
        </row>
        <row r="338">
          <cell r="L338" t="str">
            <v>Public</v>
          </cell>
        </row>
        <row r="339">
          <cell r="L339" t="str">
            <v>Public</v>
          </cell>
        </row>
        <row r="340">
          <cell r="L340" t="str">
            <v>Public</v>
          </cell>
        </row>
        <row r="341">
          <cell r="L341" t="str">
            <v>Public</v>
          </cell>
        </row>
        <row r="342">
          <cell r="L342" t="str">
            <v>Public</v>
          </cell>
        </row>
        <row r="343">
          <cell r="L343" t="str">
            <v>Public</v>
          </cell>
        </row>
        <row r="344">
          <cell r="L344" t="str">
            <v>Public</v>
          </cell>
        </row>
        <row r="345">
          <cell r="L345" t="str">
            <v>Public</v>
          </cell>
        </row>
        <row r="346">
          <cell r="L346" t="str">
            <v>Public</v>
          </cell>
        </row>
        <row r="347">
          <cell r="L347" t="str">
            <v>Public</v>
          </cell>
        </row>
        <row r="348">
          <cell r="L348" t="str">
            <v>Public</v>
          </cell>
        </row>
        <row r="349">
          <cell r="L349" t="str">
            <v>Public</v>
          </cell>
        </row>
        <row r="350">
          <cell r="L350" t="str">
            <v>Public</v>
          </cell>
        </row>
        <row r="351">
          <cell r="L351" t="str">
            <v>Public</v>
          </cell>
        </row>
        <row r="352">
          <cell r="L352" t="str">
            <v>Public</v>
          </cell>
        </row>
        <row r="353">
          <cell r="L353" t="str">
            <v>Public</v>
          </cell>
        </row>
        <row r="354">
          <cell r="L354" t="str">
            <v>Public</v>
          </cell>
        </row>
        <row r="355">
          <cell r="L355" t="str">
            <v>Public</v>
          </cell>
        </row>
        <row r="356">
          <cell r="L356" t="str">
            <v>Public</v>
          </cell>
        </row>
        <row r="357">
          <cell r="L357" t="str">
            <v>Public</v>
          </cell>
        </row>
        <row r="358">
          <cell r="L358" t="str">
            <v>Public</v>
          </cell>
        </row>
        <row r="359">
          <cell r="L359" t="str">
            <v>Public</v>
          </cell>
        </row>
        <row r="360">
          <cell r="L360" t="str">
            <v>Public</v>
          </cell>
        </row>
        <row r="361">
          <cell r="L361" t="str">
            <v>Public</v>
          </cell>
        </row>
        <row r="362">
          <cell r="L362" t="str">
            <v>Public</v>
          </cell>
        </row>
        <row r="363">
          <cell r="L363" t="str">
            <v>Public</v>
          </cell>
        </row>
        <row r="364">
          <cell r="L364" t="str">
            <v>Public</v>
          </cell>
        </row>
        <row r="365">
          <cell r="L365" t="str">
            <v>Public</v>
          </cell>
        </row>
        <row r="366">
          <cell r="L366" t="str">
            <v>Public</v>
          </cell>
        </row>
        <row r="367">
          <cell r="L367" t="str">
            <v>Public</v>
          </cell>
        </row>
        <row r="368">
          <cell r="L368" t="str">
            <v>Public</v>
          </cell>
        </row>
        <row r="369">
          <cell r="L369" t="str">
            <v>Public</v>
          </cell>
        </row>
        <row r="370">
          <cell r="L370" t="str">
            <v>Public</v>
          </cell>
        </row>
        <row r="371">
          <cell r="L371" t="str">
            <v>Public</v>
          </cell>
        </row>
        <row r="372">
          <cell r="L372" t="str">
            <v>Public</v>
          </cell>
        </row>
        <row r="373">
          <cell r="L373" t="str">
            <v>Public</v>
          </cell>
        </row>
        <row r="374">
          <cell r="L374" t="str">
            <v>Public</v>
          </cell>
        </row>
        <row r="375">
          <cell r="L375" t="str">
            <v>Public</v>
          </cell>
        </row>
        <row r="376">
          <cell r="L376" t="str">
            <v>Public</v>
          </cell>
        </row>
        <row r="377">
          <cell r="L377" t="str">
            <v>Public</v>
          </cell>
        </row>
        <row r="378">
          <cell r="L378" t="str">
            <v>Public</v>
          </cell>
        </row>
        <row r="379">
          <cell r="L379" t="str">
            <v>Public</v>
          </cell>
        </row>
        <row r="380">
          <cell r="L380" t="str">
            <v>Public</v>
          </cell>
        </row>
        <row r="381">
          <cell r="L381" t="str">
            <v>Public</v>
          </cell>
        </row>
        <row r="382">
          <cell r="L382" t="str">
            <v>Public</v>
          </cell>
        </row>
        <row r="383">
          <cell r="L383" t="str">
            <v>Public</v>
          </cell>
        </row>
        <row r="384">
          <cell r="L384" t="str">
            <v>Public</v>
          </cell>
        </row>
        <row r="385">
          <cell r="L385" t="str">
            <v>Public</v>
          </cell>
        </row>
        <row r="386">
          <cell r="L386" t="str">
            <v>Public</v>
          </cell>
        </row>
        <row r="387">
          <cell r="L387" t="str">
            <v>Public</v>
          </cell>
        </row>
        <row r="388">
          <cell r="L388" t="str">
            <v>Public</v>
          </cell>
        </row>
        <row r="389">
          <cell r="L389" t="str">
            <v>Public</v>
          </cell>
        </row>
        <row r="390">
          <cell r="L390" t="str">
            <v>Public</v>
          </cell>
        </row>
        <row r="391">
          <cell r="L391" t="str">
            <v>Public</v>
          </cell>
        </row>
        <row r="392">
          <cell r="L392" t="str">
            <v>Public</v>
          </cell>
        </row>
        <row r="393">
          <cell r="L393" t="str">
            <v>Public</v>
          </cell>
        </row>
        <row r="394">
          <cell r="L394" t="str">
            <v>Public</v>
          </cell>
        </row>
        <row r="395">
          <cell r="L395" t="str">
            <v>Public</v>
          </cell>
        </row>
        <row r="396">
          <cell r="L396" t="str">
            <v>Public</v>
          </cell>
        </row>
        <row r="397">
          <cell r="L397" t="str">
            <v>Public</v>
          </cell>
        </row>
        <row r="398">
          <cell r="L398" t="str">
            <v>Public</v>
          </cell>
        </row>
        <row r="399">
          <cell r="L399" t="str">
            <v>Public</v>
          </cell>
        </row>
        <row r="400">
          <cell r="L400" t="str">
            <v>Public</v>
          </cell>
        </row>
        <row r="401">
          <cell r="L401" t="str">
            <v>Public</v>
          </cell>
        </row>
        <row r="402">
          <cell r="L402" t="str">
            <v>Public</v>
          </cell>
        </row>
        <row r="403">
          <cell r="L403" t="str">
            <v>Private</v>
          </cell>
        </row>
        <row r="404">
          <cell r="L404" t="str">
            <v>Private</v>
          </cell>
        </row>
        <row r="405">
          <cell r="L405" t="str">
            <v>Public</v>
          </cell>
        </row>
        <row r="406">
          <cell r="L406" t="str">
            <v>Public</v>
          </cell>
        </row>
        <row r="407">
          <cell r="L407" t="str">
            <v>Public</v>
          </cell>
        </row>
        <row r="408">
          <cell r="L408" t="str">
            <v>Private</v>
          </cell>
        </row>
        <row r="409">
          <cell r="L409" t="str">
            <v>Private</v>
          </cell>
        </row>
        <row r="410">
          <cell r="L410" t="str">
            <v>Private</v>
          </cell>
        </row>
        <row r="411">
          <cell r="L411" t="str">
            <v>Private</v>
          </cell>
        </row>
        <row r="412">
          <cell r="L412" t="str">
            <v>Public</v>
          </cell>
        </row>
        <row r="413">
          <cell r="L413" t="str">
            <v>Private</v>
          </cell>
        </row>
        <row r="414">
          <cell r="L414" t="str">
            <v>Private</v>
          </cell>
        </row>
        <row r="415">
          <cell r="L415" t="str">
            <v>Private</v>
          </cell>
        </row>
        <row r="416">
          <cell r="L416" t="str">
            <v>Private</v>
          </cell>
        </row>
        <row r="417">
          <cell r="L417" t="str">
            <v>Private</v>
          </cell>
        </row>
        <row r="418">
          <cell r="L418" t="str">
            <v>Private</v>
          </cell>
        </row>
        <row r="419">
          <cell r="L419" t="str">
            <v>Private</v>
          </cell>
        </row>
        <row r="420">
          <cell r="L420" t="str">
            <v>Private</v>
          </cell>
        </row>
        <row r="421">
          <cell r="L421" t="str">
            <v>Private</v>
          </cell>
        </row>
        <row r="422">
          <cell r="L422" t="str">
            <v>Public</v>
          </cell>
        </row>
        <row r="423">
          <cell r="L423" t="str">
            <v>Private</v>
          </cell>
        </row>
        <row r="424">
          <cell r="L424" t="str">
            <v>Private</v>
          </cell>
        </row>
        <row r="425">
          <cell r="L425" t="str">
            <v>Public</v>
          </cell>
        </row>
        <row r="426">
          <cell r="L426" t="str">
            <v>Public</v>
          </cell>
        </row>
        <row r="427">
          <cell r="L427" t="str">
            <v>Private</v>
          </cell>
        </row>
        <row r="428">
          <cell r="L428" t="str">
            <v>Private</v>
          </cell>
        </row>
        <row r="429">
          <cell r="L429" t="str">
            <v>Private</v>
          </cell>
        </row>
        <row r="430">
          <cell r="L430" t="str">
            <v>Private</v>
          </cell>
        </row>
        <row r="431">
          <cell r="L431" t="str">
            <v>Private</v>
          </cell>
        </row>
        <row r="432">
          <cell r="L432" t="str">
            <v>Private</v>
          </cell>
        </row>
        <row r="433">
          <cell r="L433" t="str">
            <v>Private</v>
          </cell>
        </row>
        <row r="434">
          <cell r="L434" t="str">
            <v>Private</v>
          </cell>
        </row>
        <row r="435">
          <cell r="L435" t="str">
            <v>Private</v>
          </cell>
        </row>
        <row r="436">
          <cell r="L436" t="str">
            <v>Private</v>
          </cell>
        </row>
        <row r="437">
          <cell r="L437" t="str">
            <v>Private</v>
          </cell>
        </row>
        <row r="438">
          <cell r="L438" t="str">
            <v>Private</v>
          </cell>
        </row>
        <row r="439">
          <cell r="L439" t="str">
            <v>Private</v>
          </cell>
        </row>
        <row r="440">
          <cell r="L440" t="str">
            <v>Private</v>
          </cell>
        </row>
        <row r="441">
          <cell r="L441" t="str">
            <v>Private</v>
          </cell>
        </row>
        <row r="442">
          <cell r="L442" t="str">
            <v>Private</v>
          </cell>
        </row>
        <row r="443">
          <cell r="L443" t="str">
            <v>Public</v>
          </cell>
        </row>
        <row r="444">
          <cell r="L444" t="str">
            <v>Public</v>
          </cell>
        </row>
        <row r="445">
          <cell r="L445" t="str">
            <v>Public</v>
          </cell>
        </row>
        <row r="446">
          <cell r="L446" t="str">
            <v>Public</v>
          </cell>
        </row>
        <row r="447">
          <cell r="L447" t="str">
            <v>Public</v>
          </cell>
        </row>
        <row r="448">
          <cell r="L448" t="str">
            <v>Public</v>
          </cell>
        </row>
        <row r="449">
          <cell r="L449" t="str">
            <v>Public</v>
          </cell>
        </row>
        <row r="450">
          <cell r="L450" t="str">
            <v>Public</v>
          </cell>
        </row>
        <row r="451">
          <cell r="L451" t="str">
            <v>Public</v>
          </cell>
        </row>
        <row r="452">
          <cell r="L452" t="str">
            <v>Public</v>
          </cell>
        </row>
        <row r="453">
          <cell r="L453" t="str">
            <v>Public</v>
          </cell>
        </row>
        <row r="454">
          <cell r="L454" t="str">
            <v>Public</v>
          </cell>
        </row>
        <row r="455">
          <cell r="L455" t="str">
            <v>Public</v>
          </cell>
        </row>
        <row r="456">
          <cell r="L456" t="str">
            <v>Public</v>
          </cell>
        </row>
        <row r="457">
          <cell r="L457" t="str">
            <v>Public</v>
          </cell>
        </row>
        <row r="458">
          <cell r="L458" t="str">
            <v>Public</v>
          </cell>
        </row>
        <row r="459">
          <cell r="L459" t="str">
            <v>Public</v>
          </cell>
        </row>
        <row r="460">
          <cell r="L460" t="str">
            <v>Public</v>
          </cell>
        </row>
        <row r="461">
          <cell r="L461" t="str">
            <v>Public</v>
          </cell>
        </row>
        <row r="462">
          <cell r="L462" t="str">
            <v>Public</v>
          </cell>
        </row>
        <row r="463">
          <cell r="L463" t="str">
            <v>Public</v>
          </cell>
        </row>
        <row r="464">
          <cell r="L464" t="str">
            <v>Public</v>
          </cell>
        </row>
        <row r="465">
          <cell r="L465" t="str">
            <v>Public</v>
          </cell>
        </row>
        <row r="466">
          <cell r="L466" t="str">
            <v>Public</v>
          </cell>
        </row>
        <row r="467">
          <cell r="L467" t="str">
            <v>Public</v>
          </cell>
        </row>
        <row r="468">
          <cell r="L468" t="str">
            <v>Public</v>
          </cell>
        </row>
        <row r="469">
          <cell r="L469" t="str">
            <v>Public</v>
          </cell>
        </row>
        <row r="470">
          <cell r="L470" t="str">
            <v>Public</v>
          </cell>
        </row>
        <row r="471">
          <cell r="L471" t="str">
            <v>Public</v>
          </cell>
        </row>
        <row r="472">
          <cell r="L472" t="str">
            <v>Public</v>
          </cell>
        </row>
        <row r="473">
          <cell r="L473" t="str">
            <v>Public</v>
          </cell>
        </row>
        <row r="474">
          <cell r="L474" t="str">
            <v>Public</v>
          </cell>
        </row>
        <row r="475">
          <cell r="L475" t="str">
            <v>Public</v>
          </cell>
        </row>
        <row r="476">
          <cell r="L476" t="str">
            <v>Public</v>
          </cell>
        </row>
        <row r="477">
          <cell r="L477" t="str">
            <v>Public</v>
          </cell>
        </row>
        <row r="478">
          <cell r="L478" t="str">
            <v>Public</v>
          </cell>
        </row>
        <row r="479">
          <cell r="L479" t="str">
            <v>Public</v>
          </cell>
        </row>
        <row r="480">
          <cell r="L480" t="str">
            <v>Public</v>
          </cell>
        </row>
        <row r="481">
          <cell r="L481" t="str">
            <v>Public</v>
          </cell>
        </row>
        <row r="482">
          <cell r="L482" t="str">
            <v>Public</v>
          </cell>
        </row>
        <row r="483">
          <cell r="L483" t="str">
            <v>Public</v>
          </cell>
        </row>
        <row r="484">
          <cell r="L484" t="str">
            <v>Public</v>
          </cell>
        </row>
        <row r="485">
          <cell r="L485" t="str">
            <v>Public</v>
          </cell>
        </row>
        <row r="486">
          <cell r="L486" t="str">
            <v>Public</v>
          </cell>
        </row>
        <row r="487">
          <cell r="L487" t="str">
            <v>Public</v>
          </cell>
        </row>
        <row r="488">
          <cell r="L488" t="str">
            <v>Public</v>
          </cell>
        </row>
        <row r="489">
          <cell r="L489" t="str">
            <v>Public</v>
          </cell>
        </row>
        <row r="490">
          <cell r="L490" t="str">
            <v>Public</v>
          </cell>
        </row>
        <row r="491">
          <cell r="L491" t="str">
            <v>Public</v>
          </cell>
        </row>
        <row r="492">
          <cell r="L492" t="str">
            <v>Public</v>
          </cell>
        </row>
        <row r="493">
          <cell r="L493" t="str">
            <v>Public</v>
          </cell>
        </row>
        <row r="494">
          <cell r="L494" t="str">
            <v>Public</v>
          </cell>
        </row>
        <row r="495">
          <cell r="L495" t="str">
            <v>Public</v>
          </cell>
        </row>
        <row r="496">
          <cell r="L496" t="str">
            <v>Public</v>
          </cell>
        </row>
        <row r="497">
          <cell r="L497" t="str">
            <v>Public</v>
          </cell>
        </row>
        <row r="498">
          <cell r="L498" t="str">
            <v>Public</v>
          </cell>
        </row>
        <row r="499">
          <cell r="L499" t="str">
            <v>Public</v>
          </cell>
        </row>
        <row r="500">
          <cell r="L500" t="str">
            <v>Public</v>
          </cell>
        </row>
        <row r="501">
          <cell r="L501" t="str">
            <v>Public</v>
          </cell>
        </row>
        <row r="502">
          <cell r="L502" t="str">
            <v>Public</v>
          </cell>
        </row>
        <row r="503">
          <cell r="L503" t="str">
            <v>Public</v>
          </cell>
        </row>
        <row r="504">
          <cell r="L504" t="str">
            <v>Public</v>
          </cell>
        </row>
        <row r="505">
          <cell r="L505" t="str">
            <v>Public</v>
          </cell>
        </row>
        <row r="506">
          <cell r="L506" t="str">
            <v>Public</v>
          </cell>
        </row>
        <row r="507">
          <cell r="L507" t="str">
            <v>Public</v>
          </cell>
        </row>
        <row r="508">
          <cell r="L508" t="str">
            <v>Public</v>
          </cell>
        </row>
        <row r="509">
          <cell r="L509" t="str">
            <v>Public</v>
          </cell>
        </row>
        <row r="510">
          <cell r="L510" t="str">
            <v>Public</v>
          </cell>
        </row>
        <row r="511">
          <cell r="L511" t="str">
            <v>Public</v>
          </cell>
        </row>
        <row r="512">
          <cell r="L512" t="str">
            <v>Public</v>
          </cell>
        </row>
        <row r="513">
          <cell r="L513" t="str">
            <v>Public</v>
          </cell>
        </row>
        <row r="514">
          <cell r="L514" t="str">
            <v>Public</v>
          </cell>
        </row>
        <row r="515">
          <cell r="L515" t="str">
            <v>Public</v>
          </cell>
        </row>
        <row r="516">
          <cell r="L516" t="str">
            <v>Public</v>
          </cell>
        </row>
        <row r="517">
          <cell r="L517" t="str">
            <v>Public</v>
          </cell>
        </row>
        <row r="518">
          <cell r="L518" t="str">
            <v>Public</v>
          </cell>
        </row>
        <row r="519">
          <cell r="L519" t="str">
            <v>Public</v>
          </cell>
        </row>
        <row r="520">
          <cell r="L520" t="str">
            <v>Public</v>
          </cell>
        </row>
        <row r="521">
          <cell r="L521" t="str">
            <v>Public</v>
          </cell>
        </row>
        <row r="522">
          <cell r="L522" t="str">
            <v>Public</v>
          </cell>
        </row>
        <row r="523">
          <cell r="L523" t="str">
            <v>Public</v>
          </cell>
        </row>
        <row r="524">
          <cell r="L524" t="str">
            <v>Public</v>
          </cell>
        </row>
        <row r="525">
          <cell r="L525" t="str">
            <v>Public</v>
          </cell>
        </row>
        <row r="526">
          <cell r="L526" t="str">
            <v>Public</v>
          </cell>
        </row>
        <row r="527">
          <cell r="L527" t="str">
            <v>Public</v>
          </cell>
        </row>
        <row r="528">
          <cell r="L528" t="str">
            <v>Public</v>
          </cell>
        </row>
        <row r="529">
          <cell r="L529" t="str">
            <v>Public</v>
          </cell>
        </row>
        <row r="530">
          <cell r="L530" t="str">
            <v>Public</v>
          </cell>
        </row>
        <row r="531">
          <cell r="L531" t="str">
            <v>Public</v>
          </cell>
        </row>
        <row r="532">
          <cell r="L532" t="str">
            <v>Public</v>
          </cell>
        </row>
        <row r="533">
          <cell r="L533" t="str">
            <v>Public</v>
          </cell>
        </row>
        <row r="534">
          <cell r="L534" t="str">
            <v>Public</v>
          </cell>
        </row>
        <row r="535">
          <cell r="L535" t="str">
            <v>Public</v>
          </cell>
        </row>
        <row r="536">
          <cell r="L536" t="str">
            <v>Public</v>
          </cell>
        </row>
        <row r="537">
          <cell r="L537" t="str">
            <v>Public</v>
          </cell>
        </row>
        <row r="538">
          <cell r="L538" t="str">
            <v>Public</v>
          </cell>
        </row>
        <row r="539">
          <cell r="L539" t="str">
            <v>Public</v>
          </cell>
        </row>
        <row r="540">
          <cell r="L540" t="str">
            <v>Public</v>
          </cell>
        </row>
        <row r="541">
          <cell r="L541" t="str">
            <v>Public</v>
          </cell>
        </row>
        <row r="542">
          <cell r="L542" t="str">
            <v>Public</v>
          </cell>
        </row>
        <row r="543">
          <cell r="L543" t="str">
            <v>Public</v>
          </cell>
        </row>
        <row r="544">
          <cell r="L544" t="str">
            <v>Public</v>
          </cell>
        </row>
        <row r="545">
          <cell r="L545" t="str">
            <v>Public</v>
          </cell>
        </row>
        <row r="546">
          <cell r="L546" t="str">
            <v>Public</v>
          </cell>
        </row>
        <row r="547">
          <cell r="L547" t="str">
            <v>Public</v>
          </cell>
        </row>
        <row r="548">
          <cell r="L548" t="str">
            <v>Public</v>
          </cell>
        </row>
        <row r="549">
          <cell r="L549" t="str">
            <v>Public</v>
          </cell>
        </row>
        <row r="550">
          <cell r="L550" t="str">
            <v>Public</v>
          </cell>
        </row>
        <row r="551">
          <cell r="L551" t="str">
            <v>Public</v>
          </cell>
        </row>
        <row r="552">
          <cell r="L552" t="str">
            <v>Public</v>
          </cell>
        </row>
        <row r="553">
          <cell r="L553" t="str">
            <v>Public</v>
          </cell>
        </row>
        <row r="554">
          <cell r="L554" t="str">
            <v>Public</v>
          </cell>
        </row>
        <row r="555">
          <cell r="L555" t="str">
            <v>Public</v>
          </cell>
        </row>
        <row r="556">
          <cell r="L556" t="str">
            <v>Public</v>
          </cell>
        </row>
        <row r="557">
          <cell r="L557" t="str">
            <v>Public</v>
          </cell>
        </row>
        <row r="558">
          <cell r="L558" t="str">
            <v>Public</v>
          </cell>
        </row>
        <row r="559">
          <cell r="L559" t="str">
            <v>Public</v>
          </cell>
        </row>
        <row r="560">
          <cell r="L560" t="str">
            <v>Public</v>
          </cell>
        </row>
        <row r="561">
          <cell r="L561" t="str">
            <v>Public</v>
          </cell>
        </row>
        <row r="562">
          <cell r="L562" t="str">
            <v>Public</v>
          </cell>
        </row>
        <row r="563">
          <cell r="L563" t="str">
            <v>Public</v>
          </cell>
        </row>
        <row r="564">
          <cell r="L564" t="str">
            <v>Public</v>
          </cell>
        </row>
        <row r="565">
          <cell r="L565" t="str">
            <v>Public</v>
          </cell>
        </row>
        <row r="566">
          <cell r="L566" t="str">
            <v>Public</v>
          </cell>
        </row>
        <row r="567">
          <cell r="L567" t="str">
            <v>Public</v>
          </cell>
        </row>
        <row r="568">
          <cell r="L568" t="str">
            <v>Public</v>
          </cell>
        </row>
        <row r="569">
          <cell r="L569" t="str">
            <v>Public</v>
          </cell>
        </row>
        <row r="570">
          <cell r="L570" t="str">
            <v>Public</v>
          </cell>
        </row>
        <row r="571">
          <cell r="L571" t="str">
            <v>Public</v>
          </cell>
        </row>
        <row r="572">
          <cell r="L572" t="str">
            <v>Public</v>
          </cell>
        </row>
        <row r="573">
          <cell r="L573" t="str">
            <v>Public</v>
          </cell>
        </row>
        <row r="574">
          <cell r="L574" t="str">
            <v>Public</v>
          </cell>
        </row>
        <row r="575">
          <cell r="L575" t="str">
            <v>Public</v>
          </cell>
        </row>
        <row r="576">
          <cell r="L576" t="str">
            <v>Public</v>
          </cell>
        </row>
        <row r="577">
          <cell r="L577" t="str">
            <v>Public</v>
          </cell>
        </row>
        <row r="578">
          <cell r="L578" t="str">
            <v>Public</v>
          </cell>
        </row>
        <row r="579">
          <cell r="L579" t="str">
            <v>Public</v>
          </cell>
        </row>
        <row r="580">
          <cell r="L580" t="str">
            <v>Public</v>
          </cell>
        </row>
        <row r="581">
          <cell r="L581" t="str">
            <v>Public</v>
          </cell>
        </row>
        <row r="582">
          <cell r="L582" t="str">
            <v>Public</v>
          </cell>
        </row>
        <row r="583">
          <cell r="L583" t="str">
            <v>Public</v>
          </cell>
        </row>
        <row r="584">
          <cell r="L584" t="str">
            <v>Public</v>
          </cell>
        </row>
        <row r="585">
          <cell r="L585" t="str">
            <v>Public</v>
          </cell>
        </row>
        <row r="586">
          <cell r="L586" t="str">
            <v>Public</v>
          </cell>
        </row>
        <row r="587">
          <cell r="L587" t="str">
            <v>Public</v>
          </cell>
        </row>
        <row r="588">
          <cell r="L588" t="str">
            <v>Public</v>
          </cell>
        </row>
        <row r="589">
          <cell r="L589" t="str">
            <v>Public</v>
          </cell>
        </row>
        <row r="590">
          <cell r="L590" t="str">
            <v>Public</v>
          </cell>
        </row>
        <row r="591">
          <cell r="L591" t="str">
            <v>Private</v>
          </cell>
        </row>
        <row r="592">
          <cell r="L592" t="str">
            <v>Private</v>
          </cell>
        </row>
        <row r="593">
          <cell r="L593" t="str">
            <v>Public</v>
          </cell>
        </row>
        <row r="594">
          <cell r="L594" t="str">
            <v>Public</v>
          </cell>
        </row>
        <row r="595">
          <cell r="L595" t="str">
            <v>Private</v>
          </cell>
        </row>
        <row r="596">
          <cell r="L596" t="str">
            <v>Private</v>
          </cell>
        </row>
        <row r="597">
          <cell r="L597" t="str">
            <v>Private</v>
          </cell>
        </row>
        <row r="598">
          <cell r="L598" t="str">
            <v>Private</v>
          </cell>
        </row>
        <row r="599">
          <cell r="L599" t="str">
            <v>Private</v>
          </cell>
        </row>
        <row r="600">
          <cell r="L600" t="str">
            <v>Public</v>
          </cell>
        </row>
        <row r="601">
          <cell r="L601" t="str">
            <v>Public</v>
          </cell>
        </row>
        <row r="602">
          <cell r="L602" t="str">
            <v>Private</v>
          </cell>
        </row>
        <row r="603">
          <cell r="L603" t="str">
            <v>Private</v>
          </cell>
        </row>
        <row r="604">
          <cell r="L604" t="str">
            <v>Private</v>
          </cell>
        </row>
        <row r="605">
          <cell r="L605" t="str">
            <v>Public</v>
          </cell>
        </row>
        <row r="606">
          <cell r="L606" t="str">
            <v>Private</v>
          </cell>
        </row>
        <row r="607">
          <cell r="L607" t="str">
            <v>Private</v>
          </cell>
        </row>
        <row r="608">
          <cell r="L608" t="str">
            <v>Public</v>
          </cell>
        </row>
        <row r="609">
          <cell r="L609" t="str">
            <v>Public</v>
          </cell>
        </row>
        <row r="610">
          <cell r="L610" t="str">
            <v>Public</v>
          </cell>
        </row>
        <row r="611">
          <cell r="L611" t="str">
            <v>Public</v>
          </cell>
        </row>
        <row r="612">
          <cell r="L612" t="str">
            <v>Public</v>
          </cell>
        </row>
        <row r="613">
          <cell r="L613" t="str">
            <v>Public</v>
          </cell>
        </row>
        <row r="614">
          <cell r="L614" t="str">
            <v>Public</v>
          </cell>
        </row>
        <row r="615">
          <cell r="L615" t="str">
            <v>Public</v>
          </cell>
        </row>
        <row r="616">
          <cell r="L616" t="str">
            <v>Public</v>
          </cell>
        </row>
        <row r="617">
          <cell r="L617" t="str">
            <v>Public</v>
          </cell>
        </row>
        <row r="618">
          <cell r="L618" t="str">
            <v>Public</v>
          </cell>
        </row>
        <row r="619">
          <cell r="L619" t="str">
            <v>Public</v>
          </cell>
        </row>
        <row r="620">
          <cell r="L620" t="str">
            <v>Public</v>
          </cell>
        </row>
        <row r="621">
          <cell r="L621" t="str">
            <v>Public</v>
          </cell>
        </row>
        <row r="622">
          <cell r="L622" t="str">
            <v>Public</v>
          </cell>
        </row>
        <row r="623">
          <cell r="L623" t="str">
            <v>Public</v>
          </cell>
        </row>
        <row r="624">
          <cell r="L624" t="str">
            <v>Public</v>
          </cell>
        </row>
        <row r="625">
          <cell r="L625" t="str">
            <v>Public</v>
          </cell>
        </row>
        <row r="626">
          <cell r="L626" t="str">
            <v>Public</v>
          </cell>
        </row>
        <row r="627">
          <cell r="L627" t="str">
            <v>Public</v>
          </cell>
        </row>
        <row r="628">
          <cell r="L628" t="str">
            <v>Public</v>
          </cell>
        </row>
        <row r="629">
          <cell r="L629" t="str">
            <v>Public</v>
          </cell>
        </row>
        <row r="630">
          <cell r="L630" t="str">
            <v>Public</v>
          </cell>
        </row>
        <row r="631">
          <cell r="L631" t="str">
            <v>Public</v>
          </cell>
        </row>
        <row r="632">
          <cell r="L632" t="str">
            <v>Public</v>
          </cell>
        </row>
        <row r="633">
          <cell r="L633" t="str">
            <v>Public</v>
          </cell>
        </row>
        <row r="634">
          <cell r="L634" t="str">
            <v>Public</v>
          </cell>
        </row>
        <row r="635">
          <cell r="L635" t="str">
            <v>Private</v>
          </cell>
        </row>
        <row r="636">
          <cell r="L636" t="str">
            <v>Private</v>
          </cell>
        </row>
        <row r="637">
          <cell r="L637" t="str">
            <v>Private</v>
          </cell>
        </row>
        <row r="638">
          <cell r="L638" t="str">
            <v>Private</v>
          </cell>
        </row>
        <row r="639">
          <cell r="L639" t="str">
            <v>Private</v>
          </cell>
        </row>
        <row r="640">
          <cell r="L640" t="str">
            <v>Private</v>
          </cell>
        </row>
        <row r="641">
          <cell r="L641" t="str">
            <v>Private</v>
          </cell>
        </row>
        <row r="642">
          <cell r="L642" t="str">
            <v>Private</v>
          </cell>
        </row>
        <row r="643">
          <cell r="L643" t="str">
            <v>Private</v>
          </cell>
        </row>
        <row r="644">
          <cell r="L644" t="str">
            <v>Private</v>
          </cell>
        </row>
        <row r="645">
          <cell r="L645" t="str">
            <v>Private</v>
          </cell>
        </row>
        <row r="646">
          <cell r="L646" t="str">
            <v>Private</v>
          </cell>
        </row>
        <row r="647">
          <cell r="L647" t="str">
            <v>Private</v>
          </cell>
        </row>
        <row r="648">
          <cell r="L648" t="str">
            <v>Private</v>
          </cell>
        </row>
        <row r="649">
          <cell r="L649" t="str">
            <v>Public</v>
          </cell>
        </row>
        <row r="650">
          <cell r="L650" t="str">
            <v>Private</v>
          </cell>
        </row>
        <row r="651">
          <cell r="L651" t="str">
            <v>Private</v>
          </cell>
        </row>
        <row r="652">
          <cell r="L652" t="str">
            <v>Private</v>
          </cell>
        </row>
        <row r="653">
          <cell r="L653" t="str">
            <v>Public</v>
          </cell>
        </row>
        <row r="654">
          <cell r="L654" t="str">
            <v>Public</v>
          </cell>
        </row>
        <row r="655">
          <cell r="L655" t="str">
            <v>Public</v>
          </cell>
        </row>
        <row r="656">
          <cell r="L656" t="str">
            <v>Private</v>
          </cell>
        </row>
        <row r="657">
          <cell r="L657" t="str">
            <v>Public</v>
          </cell>
        </row>
        <row r="658">
          <cell r="L658" t="str">
            <v>Public</v>
          </cell>
        </row>
        <row r="659">
          <cell r="L659" t="str">
            <v>Public</v>
          </cell>
        </row>
        <row r="660">
          <cell r="L660" t="str">
            <v>Public</v>
          </cell>
        </row>
        <row r="661">
          <cell r="L661" t="str">
            <v>Public</v>
          </cell>
        </row>
        <row r="669">
          <cell r="L669" t="str">
            <v>Public</v>
          </cell>
        </row>
        <row r="678">
          <cell r="L678" t="str">
            <v>Public</v>
          </cell>
        </row>
        <row r="687">
          <cell r="L687" t="str">
            <v>Public</v>
          </cell>
        </row>
        <row r="695">
          <cell r="L695" t="str">
            <v>Public</v>
          </cell>
        </row>
        <row r="705">
          <cell r="L705" t="str">
            <v>Public</v>
          </cell>
        </row>
        <row r="714">
          <cell r="L714" t="str">
            <v>Public</v>
          </cell>
        </row>
        <row r="723">
          <cell r="L723" t="str">
            <v>Public</v>
          </cell>
        </row>
        <row r="732">
          <cell r="L732" t="str">
            <v>Public</v>
          </cell>
        </row>
        <row r="742">
          <cell r="L742" t="str">
            <v>Public</v>
          </cell>
        </row>
        <row r="752">
          <cell r="L752" t="str">
            <v>Public</v>
          </cell>
        </row>
        <row r="758">
          <cell r="L758" t="str">
            <v>Public</v>
          </cell>
        </row>
        <row r="766">
          <cell r="L766" t="str">
            <v>Public</v>
          </cell>
        </row>
        <row r="775">
          <cell r="L775" t="str">
            <v>Public</v>
          </cell>
        </row>
        <row r="785">
          <cell r="L785" t="str">
            <v>Public</v>
          </cell>
        </row>
        <row r="794">
          <cell r="L794" t="str">
            <v>Public</v>
          </cell>
        </row>
        <row r="803">
          <cell r="L803" t="str">
            <v>Public</v>
          </cell>
        </row>
        <row r="804">
          <cell r="L804" t="str">
            <v>Public</v>
          </cell>
        </row>
        <row r="805">
          <cell r="L805" t="str">
            <v>Public</v>
          </cell>
        </row>
        <row r="806">
          <cell r="L806" t="str">
            <v>Public</v>
          </cell>
        </row>
        <row r="807">
          <cell r="L807" t="str">
            <v>Public</v>
          </cell>
        </row>
        <row r="808">
          <cell r="L808" t="str">
            <v>Public</v>
          </cell>
        </row>
        <row r="809">
          <cell r="L809" t="str">
            <v>Public</v>
          </cell>
        </row>
        <row r="810">
          <cell r="L810" t="str">
            <v>Public</v>
          </cell>
        </row>
        <row r="811">
          <cell r="L811" t="str">
            <v>Public</v>
          </cell>
        </row>
        <row r="812">
          <cell r="L812" t="str">
            <v>Public</v>
          </cell>
        </row>
        <row r="813">
          <cell r="L813" t="str">
            <v>Public</v>
          </cell>
        </row>
        <row r="814">
          <cell r="L814" t="str">
            <v>Public</v>
          </cell>
        </row>
        <row r="815">
          <cell r="L815" t="str">
            <v>Public</v>
          </cell>
        </row>
        <row r="816">
          <cell r="L816" t="str">
            <v>Public</v>
          </cell>
        </row>
        <row r="817">
          <cell r="L817" t="str">
            <v>Public</v>
          </cell>
        </row>
        <row r="818">
          <cell r="L818" t="str">
            <v>Public</v>
          </cell>
        </row>
        <row r="819">
          <cell r="L819" t="str">
            <v>Public</v>
          </cell>
        </row>
        <row r="828">
          <cell r="L828" t="str">
            <v>Public</v>
          </cell>
        </row>
        <row r="836">
          <cell r="L836" t="str">
            <v>Public</v>
          </cell>
        </row>
        <row r="845">
          <cell r="L845" t="str">
            <v>Public</v>
          </cell>
        </row>
        <row r="859">
          <cell r="L859" t="str">
            <v>Public</v>
          </cell>
        </row>
        <row r="867">
          <cell r="L867" t="str">
            <v>Public</v>
          </cell>
        </row>
        <row r="875">
          <cell r="L875" t="str">
            <v>Public</v>
          </cell>
        </row>
        <row r="884">
          <cell r="L884" t="str">
            <v>Public</v>
          </cell>
        </row>
        <row r="892">
          <cell r="L892" t="str">
            <v>Public</v>
          </cell>
        </row>
        <row r="900">
          <cell r="L900" t="str">
            <v>Public</v>
          </cell>
        </row>
        <row r="907">
          <cell r="L907" t="str">
            <v>Public</v>
          </cell>
        </row>
        <row r="915">
          <cell r="L915" t="str">
            <v>Public</v>
          </cell>
        </row>
        <row r="923">
          <cell r="L923" t="str">
            <v>Public</v>
          </cell>
        </row>
        <row r="931">
          <cell r="L931" t="str">
            <v>Public</v>
          </cell>
        </row>
        <row r="939">
          <cell r="L939" t="str">
            <v>Public</v>
          </cell>
        </row>
        <row r="947">
          <cell r="L947" t="str">
            <v>Public</v>
          </cell>
        </row>
        <row r="954">
          <cell r="L954" t="str">
            <v>Public</v>
          </cell>
        </row>
        <row r="962">
          <cell r="L962" t="str">
            <v>Public</v>
          </cell>
        </row>
        <row r="970">
          <cell r="L970" t="str">
            <v>Public</v>
          </cell>
        </row>
        <row r="978">
          <cell r="L978" t="str">
            <v>Public</v>
          </cell>
        </row>
        <row r="986">
          <cell r="L986" t="str">
            <v>Public</v>
          </cell>
        </row>
        <row r="995">
          <cell r="L995" t="str">
            <v>Public</v>
          </cell>
        </row>
        <row r="1003">
          <cell r="L1003" t="str">
            <v>Public</v>
          </cell>
        </row>
        <row r="1011">
          <cell r="L1011" t="str">
            <v>Public</v>
          </cell>
        </row>
        <row r="1019">
          <cell r="L1019" t="str">
            <v>Public</v>
          </cell>
        </row>
        <row r="1027">
          <cell r="L1027" t="str">
            <v>Public</v>
          </cell>
        </row>
        <row r="1033">
          <cell r="L1033" t="str">
            <v>Public</v>
          </cell>
        </row>
        <row r="1039">
          <cell r="L1039" t="str">
            <v>Public</v>
          </cell>
        </row>
        <row r="1048">
          <cell r="L1048" t="str">
            <v>Public</v>
          </cell>
        </row>
        <row r="1057">
          <cell r="L1057" t="str">
            <v>Public</v>
          </cell>
        </row>
        <row r="1065">
          <cell r="L1065" t="str">
            <v>Public</v>
          </cell>
        </row>
        <row r="1072">
          <cell r="L1072" t="str">
            <v>Public</v>
          </cell>
        </row>
        <row r="1081">
          <cell r="L1081" t="str">
            <v>Public</v>
          </cell>
        </row>
        <row r="1082">
          <cell r="L1082" t="str">
            <v>Public</v>
          </cell>
        </row>
        <row r="1091">
          <cell r="L1091" t="str">
            <v>Public</v>
          </cell>
        </row>
        <row r="1099">
          <cell r="L1099" t="str">
            <v>Public</v>
          </cell>
        </row>
        <row r="1108">
          <cell r="L1108" t="str">
            <v>Public</v>
          </cell>
        </row>
        <row r="1114">
          <cell r="L1114" t="str">
            <v>Public</v>
          </cell>
        </row>
        <row r="1115">
          <cell r="L1115" t="str">
            <v>Public</v>
          </cell>
        </row>
        <row r="1116">
          <cell r="L1116" t="str">
            <v>Public</v>
          </cell>
        </row>
        <row r="1117">
          <cell r="L1117" t="str">
            <v>Public</v>
          </cell>
        </row>
        <row r="1118">
          <cell r="L1118" t="str">
            <v>Public</v>
          </cell>
        </row>
        <row r="1119">
          <cell r="L1119" t="str">
            <v>Public</v>
          </cell>
        </row>
        <row r="1120">
          <cell r="L1120" t="str">
            <v>Public</v>
          </cell>
        </row>
        <row r="1121">
          <cell r="L1121" t="str">
            <v>Public</v>
          </cell>
        </row>
        <row r="1122">
          <cell r="L1122" t="str">
            <v>Public</v>
          </cell>
        </row>
        <row r="1123">
          <cell r="L1123" t="str">
            <v>Public</v>
          </cell>
        </row>
        <row r="1124">
          <cell r="L1124" t="str">
            <v>Public</v>
          </cell>
        </row>
        <row r="1125">
          <cell r="L1125" t="str">
            <v>Public</v>
          </cell>
        </row>
        <row r="1126">
          <cell r="L1126" t="str">
            <v>Public</v>
          </cell>
        </row>
        <row r="1127">
          <cell r="L1127" t="str">
            <v>Private</v>
          </cell>
        </row>
        <row r="1128">
          <cell r="L1128" t="str">
            <v>Private</v>
          </cell>
        </row>
        <row r="1129">
          <cell r="L1129" t="str">
            <v>Private</v>
          </cell>
        </row>
        <row r="1130">
          <cell r="L1130" t="str">
            <v>Public</v>
          </cell>
        </row>
        <row r="1131">
          <cell r="L1131" t="str">
            <v>Public</v>
          </cell>
        </row>
        <row r="1132">
          <cell r="L1132" t="str">
            <v>Public</v>
          </cell>
        </row>
        <row r="1133">
          <cell r="L1133" t="str">
            <v>Public</v>
          </cell>
        </row>
        <row r="1134">
          <cell r="L1134" t="str">
            <v>Public</v>
          </cell>
        </row>
        <row r="1135">
          <cell r="L1135" t="str">
            <v>Public</v>
          </cell>
        </row>
        <row r="1136">
          <cell r="L1136" t="str">
            <v>Public</v>
          </cell>
        </row>
        <row r="1137">
          <cell r="L1137" t="str">
            <v>Public</v>
          </cell>
        </row>
        <row r="1138">
          <cell r="L1138" t="str">
            <v>Public</v>
          </cell>
        </row>
        <row r="1139">
          <cell r="L1139" t="str">
            <v>Public</v>
          </cell>
        </row>
        <row r="1140">
          <cell r="L1140" t="str">
            <v>Public</v>
          </cell>
        </row>
        <row r="1141">
          <cell r="L1141" t="str">
            <v>Public</v>
          </cell>
        </row>
        <row r="1142">
          <cell r="L1142" t="str">
            <v>Public</v>
          </cell>
        </row>
        <row r="1143">
          <cell r="L1143" t="str">
            <v>Public</v>
          </cell>
        </row>
        <row r="1144">
          <cell r="L1144" t="str">
            <v>Public</v>
          </cell>
        </row>
        <row r="1145">
          <cell r="L1145" t="str">
            <v>Public</v>
          </cell>
        </row>
        <row r="1146">
          <cell r="L1146" t="str">
            <v>Private</v>
          </cell>
        </row>
        <row r="1147">
          <cell r="L1147" t="str">
            <v>Public</v>
          </cell>
        </row>
        <row r="1148">
          <cell r="L1148" t="str">
            <v>Private</v>
          </cell>
        </row>
        <row r="1149">
          <cell r="L1149" t="str">
            <v>Private</v>
          </cell>
        </row>
        <row r="1150">
          <cell r="L1150" t="str">
            <v>Private</v>
          </cell>
        </row>
        <row r="1151">
          <cell r="L1151" t="str">
            <v>Private</v>
          </cell>
        </row>
        <row r="1152">
          <cell r="L1152" t="str">
            <v>Private</v>
          </cell>
        </row>
        <row r="1153">
          <cell r="L1153" t="str">
            <v>Private</v>
          </cell>
        </row>
        <row r="1154">
          <cell r="L1154" t="str">
            <v>Private</v>
          </cell>
        </row>
        <row r="1155">
          <cell r="L1155" t="str">
            <v>Private</v>
          </cell>
        </row>
        <row r="1156">
          <cell r="L1156" t="str">
            <v>Private</v>
          </cell>
        </row>
        <row r="1157">
          <cell r="L1157" t="str">
            <v>Private</v>
          </cell>
        </row>
        <row r="1158">
          <cell r="L1158" t="str">
            <v>Public</v>
          </cell>
        </row>
        <row r="1159">
          <cell r="L1159" t="str">
            <v>Public</v>
          </cell>
        </row>
        <row r="1160">
          <cell r="L1160" t="str">
            <v>Public</v>
          </cell>
        </row>
        <row r="1161">
          <cell r="L1161" t="str">
            <v>Public</v>
          </cell>
        </row>
        <row r="1162">
          <cell r="L1162" t="str">
            <v>Public</v>
          </cell>
        </row>
        <row r="1163">
          <cell r="L1163" t="str">
            <v>Public</v>
          </cell>
        </row>
        <row r="1164">
          <cell r="L1164" t="str">
            <v>Private</v>
          </cell>
        </row>
        <row r="1165">
          <cell r="L1165" t="str">
            <v>Private</v>
          </cell>
        </row>
        <row r="1166">
          <cell r="L1166" t="str">
            <v>Private</v>
          </cell>
        </row>
        <row r="1167">
          <cell r="L1167" t="str">
            <v>Private</v>
          </cell>
        </row>
        <row r="1168">
          <cell r="L1168" t="str">
            <v>Private</v>
          </cell>
        </row>
        <row r="1169">
          <cell r="L1169" t="str">
            <v>Private</v>
          </cell>
        </row>
        <row r="1170">
          <cell r="L1170" t="str">
            <v>Public</v>
          </cell>
        </row>
        <row r="1171">
          <cell r="L1171" t="str">
            <v>Public</v>
          </cell>
        </row>
        <row r="1172">
          <cell r="L1172" t="str">
            <v>Private</v>
          </cell>
        </row>
        <row r="1173">
          <cell r="L1173" t="str">
            <v>Private</v>
          </cell>
        </row>
        <row r="1174">
          <cell r="L1174" t="str">
            <v>Private</v>
          </cell>
        </row>
        <row r="1175">
          <cell r="L1175" t="str">
            <v>Private</v>
          </cell>
        </row>
        <row r="1176">
          <cell r="L1176" t="str">
            <v>Public</v>
          </cell>
        </row>
        <row r="1177">
          <cell r="L1177" t="str">
            <v>Public</v>
          </cell>
        </row>
        <row r="1178">
          <cell r="L1178" t="str">
            <v>Public</v>
          </cell>
        </row>
        <row r="1179">
          <cell r="L1179" t="str">
            <v>Public</v>
          </cell>
        </row>
        <row r="1180">
          <cell r="L1180" t="str">
            <v>Public</v>
          </cell>
        </row>
        <row r="1181">
          <cell r="L1181" t="str">
            <v>Public</v>
          </cell>
        </row>
        <row r="1182">
          <cell r="L1182" t="str">
            <v>Public</v>
          </cell>
        </row>
        <row r="1183">
          <cell r="L1183" t="str">
            <v>Public</v>
          </cell>
        </row>
        <row r="1184">
          <cell r="L1184" t="str">
            <v>Private</v>
          </cell>
        </row>
        <row r="1185">
          <cell r="L1185" t="str">
            <v>Public</v>
          </cell>
        </row>
        <row r="1186">
          <cell r="L1186" t="str">
            <v>Public</v>
          </cell>
        </row>
        <row r="1187">
          <cell r="L1187" t="str">
            <v>Public</v>
          </cell>
        </row>
        <row r="1188">
          <cell r="L1188" t="str">
            <v>Public</v>
          </cell>
        </row>
        <row r="1189">
          <cell r="L1189" t="str">
            <v>Public</v>
          </cell>
        </row>
        <row r="1190">
          <cell r="L1190" t="str">
            <v>Public</v>
          </cell>
        </row>
        <row r="1191">
          <cell r="L1191" t="str">
            <v>Public</v>
          </cell>
        </row>
        <row r="1192">
          <cell r="L1192" t="str">
            <v>Private</v>
          </cell>
        </row>
        <row r="1193">
          <cell r="L1193" t="str">
            <v>Private</v>
          </cell>
        </row>
        <row r="1194">
          <cell r="L1194" t="str">
            <v>Private</v>
          </cell>
        </row>
        <row r="1195">
          <cell r="L1195" t="str">
            <v>Private</v>
          </cell>
        </row>
        <row r="1196">
          <cell r="L1196" t="str">
            <v>Private</v>
          </cell>
        </row>
        <row r="1197">
          <cell r="L1197" t="str">
            <v>Private</v>
          </cell>
        </row>
        <row r="1198">
          <cell r="L1198" t="str">
            <v>Private</v>
          </cell>
        </row>
        <row r="1199">
          <cell r="L1199" t="str">
            <v>Private</v>
          </cell>
        </row>
        <row r="1200">
          <cell r="L1200" t="str">
            <v>Private</v>
          </cell>
        </row>
        <row r="1201">
          <cell r="L1201" t="str">
            <v>Private</v>
          </cell>
        </row>
        <row r="1202">
          <cell r="L1202" t="str">
            <v>Private</v>
          </cell>
        </row>
        <row r="1203">
          <cell r="L1203" t="str">
            <v>Private</v>
          </cell>
        </row>
        <row r="1204">
          <cell r="L1204" t="str">
            <v>Private</v>
          </cell>
        </row>
        <row r="1205">
          <cell r="L1205" t="str">
            <v>Private</v>
          </cell>
        </row>
        <row r="1206">
          <cell r="L1206" t="str">
            <v>Private</v>
          </cell>
        </row>
        <row r="1207">
          <cell r="L1207" t="str">
            <v>Private</v>
          </cell>
        </row>
        <row r="1208">
          <cell r="L1208" t="str">
            <v>Private</v>
          </cell>
        </row>
        <row r="1209">
          <cell r="L1209" t="str">
            <v>Public</v>
          </cell>
        </row>
        <row r="1210">
          <cell r="L1210" t="str">
            <v>Public</v>
          </cell>
        </row>
        <row r="1211">
          <cell r="L1211" t="str">
            <v>Public</v>
          </cell>
        </row>
        <row r="1212">
          <cell r="L1212" t="str">
            <v>Public</v>
          </cell>
        </row>
        <row r="1213">
          <cell r="L1213" t="str">
            <v>Public</v>
          </cell>
        </row>
        <row r="1214">
          <cell r="L1214" t="str">
            <v>Public</v>
          </cell>
        </row>
        <row r="1215">
          <cell r="L1215" t="str">
            <v>Public</v>
          </cell>
        </row>
        <row r="1216">
          <cell r="L1216" t="str">
            <v>Public</v>
          </cell>
        </row>
        <row r="1217">
          <cell r="L1217" t="str">
            <v>Public</v>
          </cell>
        </row>
        <row r="1218">
          <cell r="L1218" t="str">
            <v>Public</v>
          </cell>
        </row>
        <row r="1219">
          <cell r="L1219" t="str">
            <v>Public</v>
          </cell>
        </row>
        <row r="1220">
          <cell r="L1220" t="str">
            <v>Public</v>
          </cell>
        </row>
        <row r="1221">
          <cell r="L1221" t="str">
            <v>Public</v>
          </cell>
        </row>
        <row r="1222">
          <cell r="L1222" t="str">
            <v>Public</v>
          </cell>
        </row>
        <row r="1223">
          <cell r="L1223" t="str">
            <v>Public</v>
          </cell>
        </row>
        <row r="1224">
          <cell r="L1224" t="str">
            <v>Public</v>
          </cell>
        </row>
        <row r="1225">
          <cell r="L1225" t="str">
            <v>Public</v>
          </cell>
        </row>
        <row r="1226">
          <cell r="L1226" t="str">
            <v>Public</v>
          </cell>
        </row>
        <row r="1227">
          <cell r="L1227" t="str">
            <v>Public</v>
          </cell>
        </row>
        <row r="1228">
          <cell r="L1228" t="str">
            <v>Public</v>
          </cell>
        </row>
        <row r="1229">
          <cell r="L1229" t="str">
            <v>Public</v>
          </cell>
        </row>
        <row r="1230">
          <cell r="L1230" t="str">
            <v>Public</v>
          </cell>
        </row>
        <row r="1231">
          <cell r="L1231" t="str">
            <v>Public</v>
          </cell>
        </row>
        <row r="1232">
          <cell r="L1232" t="str">
            <v>Public</v>
          </cell>
        </row>
        <row r="1233">
          <cell r="L1233" t="str">
            <v>Public</v>
          </cell>
        </row>
        <row r="1234">
          <cell r="L1234" t="str">
            <v>Public</v>
          </cell>
        </row>
        <row r="1235">
          <cell r="L1235" t="str">
            <v>Public</v>
          </cell>
        </row>
        <row r="1236">
          <cell r="L1236" t="str">
            <v>Public</v>
          </cell>
        </row>
        <row r="1237">
          <cell r="L1237" t="str">
            <v>Public</v>
          </cell>
        </row>
        <row r="1238">
          <cell r="L1238" t="str">
            <v>Public</v>
          </cell>
        </row>
        <row r="1239">
          <cell r="L1239" t="str">
            <v>Public</v>
          </cell>
        </row>
        <row r="1240">
          <cell r="L1240" t="str">
            <v>Public</v>
          </cell>
        </row>
        <row r="1241">
          <cell r="L1241" t="str">
            <v>Public</v>
          </cell>
        </row>
        <row r="1242">
          <cell r="L1242" t="str">
            <v>Public</v>
          </cell>
        </row>
        <row r="1243">
          <cell r="L1243" t="str">
            <v>Public</v>
          </cell>
        </row>
        <row r="1244">
          <cell r="L1244" t="str">
            <v>Public</v>
          </cell>
        </row>
        <row r="1245">
          <cell r="L1245" t="str">
            <v>Public</v>
          </cell>
        </row>
        <row r="1246">
          <cell r="L1246" t="str">
            <v>Public</v>
          </cell>
        </row>
        <row r="1247">
          <cell r="L1247" t="str">
            <v>Public</v>
          </cell>
        </row>
        <row r="1248">
          <cell r="L1248" t="str">
            <v>Public</v>
          </cell>
        </row>
        <row r="1249">
          <cell r="L1249" t="str">
            <v>Public</v>
          </cell>
        </row>
        <row r="1250">
          <cell r="L1250" t="str">
            <v>Public</v>
          </cell>
        </row>
        <row r="1251">
          <cell r="L1251" t="str">
            <v>Public</v>
          </cell>
        </row>
        <row r="1252">
          <cell r="L1252" t="str">
            <v>Public</v>
          </cell>
        </row>
        <row r="1253">
          <cell r="L1253" t="str">
            <v>Public</v>
          </cell>
        </row>
        <row r="1254">
          <cell r="L1254" t="str">
            <v>Public</v>
          </cell>
        </row>
        <row r="1255">
          <cell r="L1255" t="str">
            <v>Public</v>
          </cell>
        </row>
        <row r="1256">
          <cell r="L1256" t="str">
            <v>Public</v>
          </cell>
        </row>
        <row r="1257">
          <cell r="L1257" t="str">
            <v>Public</v>
          </cell>
        </row>
        <row r="1258">
          <cell r="L1258" t="str">
            <v>Public</v>
          </cell>
        </row>
        <row r="1259">
          <cell r="L1259" t="str">
            <v>Public</v>
          </cell>
        </row>
        <row r="1260">
          <cell r="L1260" t="str">
            <v>Public</v>
          </cell>
        </row>
        <row r="1261">
          <cell r="L1261" t="str">
            <v>Public</v>
          </cell>
        </row>
        <row r="1262">
          <cell r="L1262" t="str">
            <v>Public</v>
          </cell>
        </row>
        <row r="1263">
          <cell r="L1263" t="str">
            <v>Public</v>
          </cell>
        </row>
        <row r="1264">
          <cell r="L1264" t="str">
            <v>Public</v>
          </cell>
        </row>
        <row r="1265">
          <cell r="L1265" t="str">
            <v>Public</v>
          </cell>
        </row>
        <row r="1266">
          <cell r="L1266" t="str">
            <v>Public</v>
          </cell>
        </row>
        <row r="1267">
          <cell r="L1267" t="str">
            <v>Public</v>
          </cell>
        </row>
        <row r="1268">
          <cell r="L1268" t="str">
            <v>Public</v>
          </cell>
        </row>
        <row r="1269">
          <cell r="L1269" t="str">
            <v>Public</v>
          </cell>
        </row>
        <row r="1270">
          <cell r="L1270" t="str">
            <v>Public</v>
          </cell>
        </row>
        <row r="1271">
          <cell r="L1271" t="str">
            <v>Public</v>
          </cell>
        </row>
        <row r="1272">
          <cell r="L1272" t="str">
            <v>Public</v>
          </cell>
        </row>
        <row r="1273">
          <cell r="L1273" t="str">
            <v>Public</v>
          </cell>
        </row>
        <row r="1274">
          <cell r="L1274" t="str">
            <v>Public</v>
          </cell>
        </row>
        <row r="1275">
          <cell r="L1275" t="str">
            <v>Public</v>
          </cell>
        </row>
        <row r="1276">
          <cell r="L1276" t="str">
            <v>Public</v>
          </cell>
        </row>
        <row r="1277">
          <cell r="L1277" t="str">
            <v>Public</v>
          </cell>
        </row>
        <row r="1278">
          <cell r="L1278" t="str">
            <v>Public</v>
          </cell>
        </row>
        <row r="1279">
          <cell r="L1279" t="str">
            <v>Public</v>
          </cell>
        </row>
        <row r="1280">
          <cell r="L1280" t="str">
            <v>Public</v>
          </cell>
        </row>
        <row r="1281">
          <cell r="L1281" t="str">
            <v>Public</v>
          </cell>
        </row>
        <row r="1282">
          <cell r="L1282" t="str">
            <v>Public</v>
          </cell>
        </row>
        <row r="1283">
          <cell r="L1283" t="str">
            <v>Public</v>
          </cell>
        </row>
        <row r="1284">
          <cell r="L1284" t="str">
            <v>Public</v>
          </cell>
        </row>
        <row r="1285">
          <cell r="L1285" t="str">
            <v>Public</v>
          </cell>
        </row>
        <row r="1286">
          <cell r="L1286" t="str">
            <v>Public</v>
          </cell>
        </row>
        <row r="1287">
          <cell r="L1287" t="str">
            <v>Public</v>
          </cell>
        </row>
        <row r="1288">
          <cell r="L1288" t="str">
            <v>Public</v>
          </cell>
        </row>
        <row r="1289">
          <cell r="L1289" t="str">
            <v>Public</v>
          </cell>
        </row>
        <row r="1290">
          <cell r="L1290" t="str">
            <v>Public</v>
          </cell>
        </row>
        <row r="1291">
          <cell r="L1291" t="str">
            <v>Public</v>
          </cell>
        </row>
        <row r="1292">
          <cell r="L1292" t="str">
            <v>Public</v>
          </cell>
        </row>
        <row r="1293">
          <cell r="L1293" t="str">
            <v>Public</v>
          </cell>
        </row>
        <row r="1294">
          <cell r="L1294" t="str">
            <v>Public</v>
          </cell>
        </row>
        <row r="1295">
          <cell r="L1295" t="str">
            <v>Public</v>
          </cell>
        </row>
        <row r="1296">
          <cell r="L1296" t="str">
            <v>Public</v>
          </cell>
        </row>
        <row r="1297">
          <cell r="L1297" t="str">
            <v>Public</v>
          </cell>
        </row>
        <row r="1298">
          <cell r="L1298" t="str">
            <v>Public</v>
          </cell>
        </row>
        <row r="1299">
          <cell r="L1299" t="str">
            <v>Public</v>
          </cell>
        </row>
        <row r="1300">
          <cell r="L1300" t="str">
            <v>Public</v>
          </cell>
        </row>
        <row r="1301">
          <cell r="L1301" t="str">
            <v>Public</v>
          </cell>
        </row>
        <row r="1302">
          <cell r="L1302" t="str">
            <v>Public</v>
          </cell>
        </row>
        <row r="1303">
          <cell r="L1303" t="str">
            <v>Public</v>
          </cell>
        </row>
        <row r="1304">
          <cell r="L1304" t="str">
            <v>Public</v>
          </cell>
        </row>
        <row r="1305">
          <cell r="L1305" t="str">
            <v>Public</v>
          </cell>
        </row>
        <row r="1306">
          <cell r="L1306" t="str">
            <v>Public</v>
          </cell>
        </row>
        <row r="1307">
          <cell r="L1307" t="str">
            <v>Public</v>
          </cell>
        </row>
        <row r="1308">
          <cell r="L1308" t="str">
            <v>Public</v>
          </cell>
        </row>
        <row r="1309">
          <cell r="L1309" t="str">
            <v>Public</v>
          </cell>
        </row>
        <row r="1310">
          <cell r="L1310" t="str">
            <v>Public</v>
          </cell>
        </row>
        <row r="1311">
          <cell r="L1311" t="str">
            <v>Public</v>
          </cell>
        </row>
        <row r="1312">
          <cell r="L1312" t="str">
            <v>Public</v>
          </cell>
        </row>
        <row r="1313">
          <cell r="L1313" t="str">
            <v>Public</v>
          </cell>
        </row>
        <row r="1314">
          <cell r="L1314" t="str">
            <v>Public</v>
          </cell>
        </row>
        <row r="1315">
          <cell r="L1315" t="str">
            <v>Public</v>
          </cell>
        </row>
        <row r="1316">
          <cell r="L1316" t="str">
            <v>Public</v>
          </cell>
        </row>
        <row r="1317">
          <cell r="L1317" t="str">
            <v>Public</v>
          </cell>
        </row>
        <row r="1318">
          <cell r="L1318" t="str">
            <v>Public</v>
          </cell>
        </row>
        <row r="1319">
          <cell r="L1319" t="str">
            <v>Public</v>
          </cell>
        </row>
        <row r="1320">
          <cell r="L1320" t="str">
            <v>Public</v>
          </cell>
        </row>
        <row r="1321">
          <cell r="L1321" t="str">
            <v>Public</v>
          </cell>
        </row>
        <row r="1322">
          <cell r="L1322" t="str">
            <v>Public</v>
          </cell>
        </row>
        <row r="1323">
          <cell r="L1323" t="str">
            <v>Public</v>
          </cell>
        </row>
        <row r="1324">
          <cell r="L1324" t="str">
            <v>Public</v>
          </cell>
        </row>
        <row r="1325">
          <cell r="L1325" t="str">
            <v>Public</v>
          </cell>
        </row>
        <row r="1326">
          <cell r="L1326" t="str">
            <v>Public</v>
          </cell>
        </row>
        <row r="1327">
          <cell r="L1327" t="str">
            <v>Public</v>
          </cell>
        </row>
        <row r="1328">
          <cell r="L1328" t="str">
            <v>Public</v>
          </cell>
        </row>
        <row r="1329">
          <cell r="L1329" t="str">
            <v>Public</v>
          </cell>
        </row>
        <row r="1330">
          <cell r="L1330" t="str">
            <v>Public</v>
          </cell>
        </row>
        <row r="1331">
          <cell r="L1331" t="str">
            <v>Public</v>
          </cell>
        </row>
        <row r="1332">
          <cell r="L1332" t="str">
            <v>Public</v>
          </cell>
        </row>
        <row r="1333">
          <cell r="L1333" t="str">
            <v>Public</v>
          </cell>
        </row>
        <row r="1334">
          <cell r="L1334" t="str">
            <v>Public</v>
          </cell>
        </row>
        <row r="1335">
          <cell r="L1335" t="str">
            <v>Public</v>
          </cell>
        </row>
        <row r="1336">
          <cell r="L1336" t="str">
            <v>Public</v>
          </cell>
        </row>
        <row r="1337">
          <cell r="L1337" t="str">
            <v>Public</v>
          </cell>
        </row>
        <row r="1338">
          <cell r="L1338" t="str">
            <v>Public</v>
          </cell>
        </row>
        <row r="1339">
          <cell r="L1339" t="str">
            <v>Public</v>
          </cell>
        </row>
        <row r="1340">
          <cell r="L1340" t="str">
            <v>Public</v>
          </cell>
        </row>
        <row r="1341">
          <cell r="L1341" t="str">
            <v>Public</v>
          </cell>
        </row>
        <row r="1342">
          <cell r="L1342" t="str">
            <v>Public</v>
          </cell>
        </row>
        <row r="1343">
          <cell r="L1343" t="str">
            <v>Public</v>
          </cell>
        </row>
        <row r="1344">
          <cell r="L1344" t="str">
            <v>Public</v>
          </cell>
        </row>
        <row r="1345">
          <cell r="L1345" t="str">
            <v>Public</v>
          </cell>
        </row>
        <row r="1346">
          <cell r="L1346" t="str">
            <v>Public</v>
          </cell>
        </row>
        <row r="1347">
          <cell r="L1347" t="str">
            <v>Public</v>
          </cell>
        </row>
        <row r="1348">
          <cell r="L1348" t="str">
            <v>Public</v>
          </cell>
        </row>
        <row r="1349">
          <cell r="L1349" t="str">
            <v>Public</v>
          </cell>
        </row>
        <row r="1350">
          <cell r="L1350" t="str">
            <v>Public</v>
          </cell>
        </row>
        <row r="1351">
          <cell r="L1351" t="str">
            <v>Public</v>
          </cell>
        </row>
        <row r="1352">
          <cell r="L1352" t="str">
            <v>Public</v>
          </cell>
        </row>
        <row r="1353">
          <cell r="L1353" t="str">
            <v>Public</v>
          </cell>
        </row>
        <row r="1354">
          <cell r="L1354" t="str">
            <v>Public</v>
          </cell>
        </row>
        <row r="1355">
          <cell r="L1355" t="str">
            <v>Public</v>
          </cell>
        </row>
        <row r="1356">
          <cell r="L1356" t="str">
            <v>Public</v>
          </cell>
        </row>
        <row r="1357">
          <cell r="L1357" t="str">
            <v>Public</v>
          </cell>
        </row>
        <row r="1358">
          <cell r="L1358" t="str">
            <v>Public</v>
          </cell>
        </row>
        <row r="1359">
          <cell r="L1359" t="str">
            <v>Public</v>
          </cell>
        </row>
        <row r="1360">
          <cell r="L1360" t="str">
            <v>Public</v>
          </cell>
        </row>
        <row r="1361">
          <cell r="L1361" t="str">
            <v>Public</v>
          </cell>
        </row>
        <row r="1362">
          <cell r="L1362" t="str">
            <v>Public</v>
          </cell>
        </row>
        <row r="1363">
          <cell r="L1363" t="str">
            <v>Public</v>
          </cell>
        </row>
        <row r="1364">
          <cell r="L1364" t="str">
            <v>Public</v>
          </cell>
        </row>
        <row r="1365">
          <cell r="L1365" t="str">
            <v>Public</v>
          </cell>
        </row>
        <row r="1366">
          <cell r="L1366" t="str">
            <v>Public</v>
          </cell>
        </row>
        <row r="1367">
          <cell r="L1367" t="str">
            <v>Public</v>
          </cell>
        </row>
        <row r="1368">
          <cell r="L1368" t="str">
            <v>Public</v>
          </cell>
        </row>
        <row r="1369">
          <cell r="L1369" t="str">
            <v>Public</v>
          </cell>
        </row>
        <row r="1370">
          <cell r="L1370" t="str">
            <v>Public</v>
          </cell>
        </row>
        <row r="1371">
          <cell r="L1371" t="str">
            <v>Public</v>
          </cell>
        </row>
        <row r="1372">
          <cell r="L1372" t="str">
            <v>Public</v>
          </cell>
        </row>
        <row r="1373">
          <cell r="L1373" t="str">
            <v>Public</v>
          </cell>
        </row>
        <row r="1374">
          <cell r="L1374" t="str">
            <v>Public</v>
          </cell>
        </row>
        <row r="1375">
          <cell r="L1375" t="str">
            <v>Public</v>
          </cell>
        </row>
        <row r="1376">
          <cell r="L1376" t="str">
            <v>Public</v>
          </cell>
        </row>
        <row r="1377">
          <cell r="L1377" t="str">
            <v>Public</v>
          </cell>
        </row>
        <row r="1378">
          <cell r="L1378" t="str">
            <v>Public</v>
          </cell>
        </row>
        <row r="1379">
          <cell r="L1379" t="str">
            <v>Public</v>
          </cell>
        </row>
        <row r="1380">
          <cell r="L1380" t="str">
            <v>Public</v>
          </cell>
        </row>
        <row r="1381">
          <cell r="L1381" t="str">
            <v>Public</v>
          </cell>
        </row>
        <row r="1382">
          <cell r="L1382" t="str">
            <v>Public</v>
          </cell>
        </row>
        <row r="1383">
          <cell r="L1383" t="str">
            <v>Public</v>
          </cell>
        </row>
        <row r="1384">
          <cell r="L1384" t="str">
            <v>Public</v>
          </cell>
        </row>
        <row r="1385">
          <cell r="L1385" t="str">
            <v>Public</v>
          </cell>
        </row>
        <row r="1386">
          <cell r="L1386" t="str">
            <v>Public</v>
          </cell>
        </row>
        <row r="1387">
          <cell r="L1387" t="str">
            <v>Public</v>
          </cell>
        </row>
        <row r="1388">
          <cell r="L1388" t="str">
            <v>Public</v>
          </cell>
        </row>
        <row r="1389">
          <cell r="L1389" t="str">
            <v>Public</v>
          </cell>
        </row>
        <row r="1390">
          <cell r="L1390" t="str">
            <v>Public</v>
          </cell>
        </row>
        <row r="1391">
          <cell r="L1391" t="str">
            <v>Public</v>
          </cell>
        </row>
        <row r="1392">
          <cell r="L1392" t="str">
            <v>Public</v>
          </cell>
        </row>
        <row r="1393">
          <cell r="L1393" t="str">
            <v>Public</v>
          </cell>
        </row>
        <row r="1394">
          <cell r="L1394" t="str">
            <v>Public</v>
          </cell>
        </row>
        <row r="1395">
          <cell r="L1395" t="str">
            <v>Public</v>
          </cell>
        </row>
        <row r="1396">
          <cell r="L1396" t="str">
            <v>Public</v>
          </cell>
        </row>
        <row r="1397">
          <cell r="L1397" t="str">
            <v>Public</v>
          </cell>
        </row>
        <row r="1398">
          <cell r="L1398" t="str">
            <v>Public</v>
          </cell>
        </row>
        <row r="1399">
          <cell r="L1399" t="str">
            <v>Public</v>
          </cell>
        </row>
        <row r="1400">
          <cell r="L1400" t="str">
            <v>Public</v>
          </cell>
        </row>
        <row r="1401">
          <cell r="L1401" t="str">
            <v>Public</v>
          </cell>
        </row>
        <row r="1402">
          <cell r="L1402" t="str">
            <v>Public</v>
          </cell>
        </row>
        <row r="1403">
          <cell r="L1403" t="str">
            <v>Public</v>
          </cell>
        </row>
        <row r="1404">
          <cell r="L1404" t="str">
            <v>Public</v>
          </cell>
        </row>
        <row r="1405">
          <cell r="L1405" t="str">
            <v>Public</v>
          </cell>
        </row>
        <row r="1406">
          <cell r="L1406" t="str">
            <v>Public</v>
          </cell>
        </row>
        <row r="1407">
          <cell r="L1407" t="str">
            <v>Public</v>
          </cell>
        </row>
        <row r="1408">
          <cell r="L1408" t="str">
            <v>Public</v>
          </cell>
        </row>
        <row r="1409">
          <cell r="L1409" t="str">
            <v>Public</v>
          </cell>
        </row>
        <row r="1410">
          <cell r="L1410" t="str">
            <v>Public</v>
          </cell>
        </row>
        <row r="1411">
          <cell r="L1411" t="str">
            <v>Public</v>
          </cell>
        </row>
        <row r="1412">
          <cell r="L1412" t="str">
            <v>Public</v>
          </cell>
        </row>
        <row r="1413">
          <cell r="L1413" t="str">
            <v>Public</v>
          </cell>
        </row>
        <row r="1414">
          <cell r="L1414" t="str">
            <v>Public</v>
          </cell>
        </row>
        <row r="1415">
          <cell r="L1415" t="str">
            <v>Public</v>
          </cell>
        </row>
        <row r="1416">
          <cell r="L1416" t="str">
            <v>Public</v>
          </cell>
        </row>
        <row r="1417">
          <cell r="L1417" t="str">
            <v>Public</v>
          </cell>
        </row>
        <row r="1418">
          <cell r="L1418" t="str">
            <v>Public</v>
          </cell>
        </row>
        <row r="1419">
          <cell r="L1419" t="str">
            <v>Public</v>
          </cell>
        </row>
        <row r="1420">
          <cell r="L1420" t="str">
            <v>Public</v>
          </cell>
        </row>
        <row r="1421">
          <cell r="L1421" t="str">
            <v>Public</v>
          </cell>
        </row>
        <row r="1422">
          <cell r="L1422" t="str">
            <v>Public</v>
          </cell>
        </row>
        <row r="1423">
          <cell r="L1423" t="str">
            <v>Public</v>
          </cell>
        </row>
        <row r="1424">
          <cell r="L1424" t="str">
            <v>Public</v>
          </cell>
        </row>
        <row r="1425">
          <cell r="L1425" t="str">
            <v>Public</v>
          </cell>
        </row>
        <row r="1426">
          <cell r="L1426" t="str">
            <v>Public</v>
          </cell>
        </row>
        <row r="1427">
          <cell r="L1427" t="str">
            <v>Public</v>
          </cell>
        </row>
        <row r="1428">
          <cell r="L1428" t="str">
            <v>Public</v>
          </cell>
        </row>
        <row r="1429">
          <cell r="L1429" t="str">
            <v>Public</v>
          </cell>
        </row>
        <row r="1430">
          <cell r="L1430" t="str">
            <v>Public</v>
          </cell>
        </row>
        <row r="1431">
          <cell r="L1431" t="str">
            <v>Public</v>
          </cell>
        </row>
        <row r="1432">
          <cell r="L1432" t="str">
            <v>Public</v>
          </cell>
        </row>
        <row r="1433">
          <cell r="L1433" t="str">
            <v>Public</v>
          </cell>
        </row>
        <row r="1434">
          <cell r="L1434" t="str">
            <v>Public</v>
          </cell>
        </row>
        <row r="1435">
          <cell r="L1435" t="str">
            <v>Public</v>
          </cell>
        </row>
        <row r="1436">
          <cell r="L1436" t="str">
            <v>Public</v>
          </cell>
        </row>
        <row r="1437">
          <cell r="L1437" t="str">
            <v>Public</v>
          </cell>
        </row>
        <row r="1438">
          <cell r="L1438" t="str">
            <v>Public</v>
          </cell>
        </row>
        <row r="1439">
          <cell r="L1439" t="str">
            <v>Public</v>
          </cell>
        </row>
        <row r="1440">
          <cell r="L1440" t="str">
            <v>Public</v>
          </cell>
        </row>
        <row r="1441">
          <cell r="L1441" t="str">
            <v>Public</v>
          </cell>
        </row>
        <row r="1442">
          <cell r="L1442" t="str">
            <v>Public</v>
          </cell>
        </row>
        <row r="1443">
          <cell r="L1443" t="str">
            <v>Public</v>
          </cell>
        </row>
        <row r="1444">
          <cell r="L1444" t="str">
            <v>Public</v>
          </cell>
        </row>
        <row r="1445">
          <cell r="L1445" t="str">
            <v>Public</v>
          </cell>
        </row>
        <row r="1446">
          <cell r="L1446" t="str">
            <v>Public</v>
          </cell>
        </row>
        <row r="1447">
          <cell r="L1447" t="str">
            <v>Public</v>
          </cell>
        </row>
        <row r="1448">
          <cell r="L1448" t="str">
            <v>Public</v>
          </cell>
        </row>
        <row r="1449">
          <cell r="L1449" t="str">
            <v>Public</v>
          </cell>
        </row>
        <row r="1450">
          <cell r="L1450" t="str">
            <v>Public</v>
          </cell>
        </row>
        <row r="1451">
          <cell r="L1451" t="str">
            <v>Public</v>
          </cell>
        </row>
        <row r="1452">
          <cell r="L1452" t="str">
            <v>Public</v>
          </cell>
        </row>
        <row r="1453">
          <cell r="L1453" t="str">
            <v>Public</v>
          </cell>
        </row>
        <row r="1454">
          <cell r="L1454" t="str">
            <v>Public</v>
          </cell>
        </row>
        <row r="1455">
          <cell r="L1455" t="str">
            <v>Public</v>
          </cell>
        </row>
        <row r="1456">
          <cell r="L1456" t="str">
            <v>Public</v>
          </cell>
        </row>
        <row r="1457">
          <cell r="L1457" t="str">
            <v>Public</v>
          </cell>
        </row>
        <row r="1458">
          <cell r="L1458" t="str">
            <v>Public</v>
          </cell>
        </row>
        <row r="1459">
          <cell r="L1459" t="str">
            <v>Public</v>
          </cell>
        </row>
        <row r="1460">
          <cell r="L1460" t="str">
            <v>Public</v>
          </cell>
        </row>
        <row r="1461">
          <cell r="L1461" t="str">
            <v>Public</v>
          </cell>
        </row>
        <row r="1462">
          <cell r="L1462" t="str">
            <v>Public</v>
          </cell>
        </row>
        <row r="1463">
          <cell r="L1463" t="str">
            <v>Public</v>
          </cell>
        </row>
        <row r="1464">
          <cell r="L1464" t="str">
            <v>Public</v>
          </cell>
        </row>
        <row r="1465">
          <cell r="L1465" t="str">
            <v>Public</v>
          </cell>
        </row>
        <row r="1466">
          <cell r="L1466" t="str">
            <v>Public</v>
          </cell>
        </row>
        <row r="1467">
          <cell r="L1467" t="str">
            <v>Public</v>
          </cell>
        </row>
        <row r="1468">
          <cell r="L1468" t="str">
            <v>Public</v>
          </cell>
        </row>
        <row r="1469">
          <cell r="L1469" t="str">
            <v>Public</v>
          </cell>
        </row>
        <row r="1470">
          <cell r="L1470" t="str">
            <v>Public</v>
          </cell>
        </row>
        <row r="1471">
          <cell r="L1471" t="str">
            <v>Public</v>
          </cell>
        </row>
        <row r="1472">
          <cell r="L1472" t="str">
            <v>Public</v>
          </cell>
        </row>
        <row r="1473">
          <cell r="L1473" t="str">
            <v>Public</v>
          </cell>
        </row>
        <row r="1474">
          <cell r="L1474" t="str">
            <v>Public</v>
          </cell>
        </row>
        <row r="1475">
          <cell r="L1475" t="str">
            <v>Public</v>
          </cell>
        </row>
        <row r="1476">
          <cell r="L1476" t="str">
            <v>Public</v>
          </cell>
        </row>
        <row r="1477">
          <cell r="L1477" t="str">
            <v>Public</v>
          </cell>
        </row>
        <row r="1478">
          <cell r="L1478" t="str">
            <v>Public</v>
          </cell>
        </row>
        <row r="1479">
          <cell r="L1479" t="str">
            <v>Public</v>
          </cell>
        </row>
        <row r="1480">
          <cell r="L1480" t="str">
            <v>Public</v>
          </cell>
        </row>
        <row r="1481">
          <cell r="L1481" t="str">
            <v>Public</v>
          </cell>
        </row>
        <row r="1482">
          <cell r="L1482" t="str">
            <v>Public</v>
          </cell>
        </row>
        <row r="1483">
          <cell r="L1483" t="str">
            <v>Public</v>
          </cell>
        </row>
        <row r="1484">
          <cell r="L1484" t="str">
            <v>Public</v>
          </cell>
        </row>
        <row r="1485">
          <cell r="L1485" t="str">
            <v>Public</v>
          </cell>
        </row>
        <row r="1486">
          <cell r="L1486" t="str">
            <v>Public</v>
          </cell>
        </row>
        <row r="1487">
          <cell r="L1487" t="str">
            <v>Public</v>
          </cell>
        </row>
        <row r="1488">
          <cell r="L1488" t="str">
            <v>Public</v>
          </cell>
        </row>
        <row r="1489">
          <cell r="L1489" t="str">
            <v>Public</v>
          </cell>
        </row>
        <row r="1490">
          <cell r="L1490" t="str">
            <v>Public</v>
          </cell>
        </row>
        <row r="1491">
          <cell r="L1491" t="str">
            <v>Public</v>
          </cell>
        </row>
        <row r="1492">
          <cell r="L1492" t="str">
            <v>Public</v>
          </cell>
        </row>
        <row r="1493">
          <cell r="L1493" t="str">
            <v>Public</v>
          </cell>
        </row>
        <row r="1494">
          <cell r="L1494" t="str">
            <v>Public</v>
          </cell>
        </row>
        <row r="1495">
          <cell r="L1495" t="str">
            <v>Public</v>
          </cell>
        </row>
        <row r="1496">
          <cell r="L1496" t="str">
            <v>Public</v>
          </cell>
        </row>
        <row r="1497">
          <cell r="L1497" t="str">
            <v>Public</v>
          </cell>
        </row>
        <row r="1498">
          <cell r="L1498" t="str">
            <v>Public</v>
          </cell>
        </row>
        <row r="1499">
          <cell r="L1499" t="str">
            <v>Public</v>
          </cell>
        </row>
        <row r="1500">
          <cell r="L1500" t="str">
            <v>Public</v>
          </cell>
        </row>
        <row r="1501">
          <cell r="L1501" t="str">
            <v>Public</v>
          </cell>
        </row>
        <row r="1502">
          <cell r="L1502" t="str">
            <v>Public</v>
          </cell>
        </row>
        <row r="1503">
          <cell r="L1503" t="str">
            <v>Public</v>
          </cell>
        </row>
        <row r="1504">
          <cell r="L1504" t="str">
            <v>Public</v>
          </cell>
        </row>
        <row r="1505">
          <cell r="L1505" t="str">
            <v>Public</v>
          </cell>
        </row>
        <row r="1506">
          <cell r="L1506" t="str">
            <v>Public</v>
          </cell>
        </row>
        <row r="1507">
          <cell r="L1507" t="str">
            <v>Public</v>
          </cell>
        </row>
        <row r="1508">
          <cell r="L1508" t="str">
            <v>Public</v>
          </cell>
        </row>
        <row r="1509">
          <cell r="L1509" t="str">
            <v>Public</v>
          </cell>
        </row>
        <row r="1510">
          <cell r="L1510" t="str">
            <v>Public</v>
          </cell>
        </row>
        <row r="1511">
          <cell r="L1511" t="str">
            <v>Public</v>
          </cell>
        </row>
        <row r="1512">
          <cell r="L1512" t="str">
            <v>Public</v>
          </cell>
        </row>
        <row r="1513">
          <cell r="L1513" t="str">
            <v>Public</v>
          </cell>
        </row>
        <row r="1514">
          <cell r="L1514" t="str">
            <v>Public</v>
          </cell>
        </row>
        <row r="1515">
          <cell r="L1515" t="str">
            <v>Public</v>
          </cell>
        </row>
        <row r="1516">
          <cell r="L1516" t="str">
            <v>Public</v>
          </cell>
        </row>
        <row r="1517">
          <cell r="L1517" t="str">
            <v>Public</v>
          </cell>
        </row>
        <row r="1518">
          <cell r="L1518" t="str">
            <v>Public</v>
          </cell>
        </row>
        <row r="1519">
          <cell r="L1519" t="str">
            <v>Public</v>
          </cell>
        </row>
        <row r="1520">
          <cell r="L1520" t="str">
            <v>Public</v>
          </cell>
        </row>
        <row r="1521">
          <cell r="L1521" t="str">
            <v>Public</v>
          </cell>
        </row>
        <row r="1522">
          <cell r="L1522" t="str">
            <v>Public</v>
          </cell>
        </row>
        <row r="1523">
          <cell r="L1523" t="str">
            <v>Public</v>
          </cell>
        </row>
        <row r="1524">
          <cell r="L1524" t="str">
            <v>Public</v>
          </cell>
        </row>
        <row r="1525">
          <cell r="L1525" t="str">
            <v>Public</v>
          </cell>
        </row>
        <row r="1526">
          <cell r="L1526" t="str">
            <v>Public</v>
          </cell>
        </row>
        <row r="1527">
          <cell r="L1527" t="str">
            <v>Public</v>
          </cell>
        </row>
        <row r="1528">
          <cell r="L1528" t="str">
            <v>Public</v>
          </cell>
        </row>
        <row r="1529">
          <cell r="L1529" t="str">
            <v>Public</v>
          </cell>
        </row>
        <row r="1530">
          <cell r="L1530" t="str">
            <v>Public</v>
          </cell>
        </row>
        <row r="1531">
          <cell r="L1531" t="str">
            <v>Public</v>
          </cell>
        </row>
        <row r="1532">
          <cell r="L1532" t="str">
            <v>Public</v>
          </cell>
        </row>
        <row r="1533">
          <cell r="L1533" t="str">
            <v>Public</v>
          </cell>
        </row>
        <row r="1534">
          <cell r="L1534" t="str">
            <v>Public</v>
          </cell>
        </row>
        <row r="1535">
          <cell r="L1535" t="str">
            <v>Public</v>
          </cell>
        </row>
        <row r="1536">
          <cell r="L1536" t="str">
            <v>Public</v>
          </cell>
        </row>
        <row r="1537">
          <cell r="L1537" t="str">
            <v>Public</v>
          </cell>
        </row>
        <row r="1538">
          <cell r="L1538" t="str">
            <v>Public</v>
          </cell>
        </row>
        <row r="1539">
          <cell r="L1539" t="str">
            <v>Public</v>
          </cell>
        </row>
        <row r="1540">
          <cell r="L1540" t="str">
            <v>Public</v>
          </cell>
        </row>
        <row r="1541">
          <cell r="L1541" t="str">
            <v>Public</v>
          </cell>
        </row>
        <row r="1542">
          <cell r="L1542" t="str">
            <v>Public</v>
          </cell>
        </row>
        <row r="1543">
          <cell r="L1543" t="str">
            <v>Public</v>
          </cell>
        </row>
        <row r="1544">
          <cell r="L1544" t="str">
            <v>Public</v>
          </cell>
        </row>
        <row r="1545">
          <cell r="L1545" t="str">
            <v>Public</v>
          </cell>
        </row>
        <row r="1546">
          <cell r="L1546" t="str">
            <v>Public</v>
          </cell>
        </row>
        <row r="1547">
          <cell r="L1547" t="str">
            <v>Public</v>
          </cell>
        </row>
        <row r="1548">
          <cell r="L1548" t="str">
            <v>Public</v>
          </cell>
        </row>
        <row r="1549">
          <cell r="L1549" t="str">
            <v>Public</v>
          </cell>
        </row>
        <row r="1550">
          <cell r="L1550" t="str">
            <v>Public</v>
          </cell>
        </row>
        <row r="1551">
          <cell r="L1551" t="str">
            <v>Public</v>
          </cell>
        </row>
        <row r="1552">
          <cell r="L1552" t="str">
            <v>Public</v>
          </cell>
        </row>
        <row r="1553">
          <cell r="L1553" t="str">
            <v>Public</v>
          </cell>
        </row>
        <row r="1554">
          <cell r="L1554" t="str">
            <v>Public</v>
          </cell>
        </row>
        <row r="1555">
          <cell r="L1555" t="str">
            <v>Public</v>
          </cell>
        </row>
        <row r="1556">
          <cell r="L1556" t="str">
            <v>Public</v>
          </cell>
        </row>
        <row r="1557">
          <cell r="L1557" t="str">
            <v>Public</v>
          </cell>
        </row>
        <row r="1558">
          <cell r="L1558" t="str">
            <v>Public</v>
          </cell>
        </row>
        <row r="1559">
          <cell r="L1559" t="str">
            <v>Public</v>
          </cell>
        </row>
        <row r="1560">
          <cell r="L1560" t="str">
            <v>Public</v>
          </cell>
        </row>
        <row r="1561">
          <cell r="L1561" t="str">
            <v>Public</v>
          </cell>
        </row>
        <row r="1562">
          <cell r="L1562" t="str">
            <v>Public</v>
          </cell>
        </row>
        <row r="1563">
          <cell r="L1563" t="str">
            <v>Public</v>
          </cell>
        </row>
        <row r="1564">
          <cell r="L1564" t="str">
            <v>Public</v>
          </cell>
        </row>
        <row r="1565">
          <cell r="L1565" t="str">
            <v>Public</v>
          </cell>
        </row>
        <row r="1566">
          <cell r="L1566" t="str">
            <v>Public</v>
          </cell>
        </row>
        <row r="1567">
          <cell r="L1567" t="str">
            <v>Public</v>
          </cell>
        </row>
        <row r="1568">
          <cell r="L1568" t="str">
            <v>Public</v>
          </cell>
        </row>
        <row r="1569">
          <cell r="L1569" t="str">
            <v>Public</v>
          </cell>
        </row>
        <row r="1570">
          <cell r="L1570" t="str">
            <v>Public</v>
          </cell>
        </row>
        <row r="1571">
          <cell r="L1571" t="str">
            <v>Public</v>
          </cell>
        </row>
        <row r="1572">
          <cell r="L1572" t="str">
            <v>Public</v>
          </cell>
        </row>
        <row r="1573">
          <cell r="L1573" t="str">
            <v>Public</v>
          </cell>
        </row>
        <row r="1574">
          <cell r="L1574" t="str">
            <v>Public</v>
          </cell>
        </row>
        <row r="1575">
          <cell r="L1575" t="str">
            <v>Public</v>
          </cell>
        </row>
        <row r="1576">
          <cell r="L1576" t="str">
            <v>Public</v>
          </cell>
        </row>
        <row r="1577">
          <cell r="L1577" t="str">
            <v>Public</v>
          </cell>
        </row>
        <row r="1578">
          <cell r="L1578" t="str">
            <v>Public</v>
          </cell>
        </row>
        <row r="1579">
          <cell r="L1579" t="str">
            <v>Public</v>
          </cell>
        </row>
        <row r="1580">
          <cell r="L1580" t="str">
            <v>Public</v>
          </cell>
        </row>
        <row r="1581">
          <cell r="L1581" t="str">
            <v>Public</v>
          </cell>
        </row>
        <row r="1582">
          <cell r="L1582" t="str">
            <v>Public</v>
          </cell>
        </row>
        <row r="1583">
          <cell r="L1583" t="str">
            <v>Public</v>
          </cell>
        </row>
        <row r="1584">
          <cell r="L1584" t="str">
            <v>Public</v>
          </cell>
        </row>
        <row r="1585">
          <cell r="L1585" t="str">
            <v>Public</v>
          </cell>
        </row>
        <row r="1586">
          <cell r="L1586" t="str">
            <v>Public</v>
          </cell>
        </row>
        <row r="1587">
          <cell r="L1587" t="str">
            <v>Public</v>
          </cell>
        </row>
        <row r="1588">
          <cell r="L1588" t="str">
            <v>Public</v>
          </cell>
        </row>
        <row r="1589">
          <cell r="L1589" t="str">
            <v>Public</v>
          </cell>
        </row>
        <row r="1590">
          <cell r="L1590" t="str">
            <v>Public</v>
          </cell>
        </row>
        <row r="1591">
          <cell r="L1591" t="str">
            <v>Public</v>
          </cell>
        </row>
        <row r="1592">
          <cell r="L1592" t="str">
            <v>Public</v>
          </cell>
        </row>
        <row r="1593">
          <cell r="L1593" t="str">
            <v>Public</v>
          </cell>
        </row>
        <row r="1594">
          <cell r="L1594" t="str">
            <v>Public</v>
          </cell>
        </row>
        <row r="1595">
          <cell r="L1595" t="str">
            <v>Public</v>
          </cell>
        </row>
        <row r="1596">
          <cell r="L1596" t="str">
            <v>Public</v>
          </cell>
        </row>
        <row r="1597">
          <cell r="L1597" t="str">
            <v>Public</v>
          </cell>
        </row>
        <row r="1598">
          <cell r="L1598" t="str">
            <v>Public</v>
          </cell>
        </row>
        <row r="1599">
          <cell r="L1599" t="str">
            <v>Public</v>
          </cell>
        </row>
        <row r="1600">
          <cell r="L1600" t="str">
            <v>Public</v>
          </cell>
        </row>
        <row r="1601">
          <cell r="L1601" t="str">
            <v>Public</v>
          </cell>
        </row>
        <row r="1602">
          <cell r="L1602" t="str">
            <v>Public</v>
          </cell>
        </row>
        <row r="1603">
          <cell r="L1603" t="str">
            <v>Public</v>
          </cell>
        </row>
        <row r="1604">
          <cell r="L1604" t="str">
            <v>Public</v>
          </cell>
        </row>
        <row r="1605">
          <cell r="L1605" t="str">
            <v>Public</v>
          </cell>
        </row>
        <row r="1606">
          <cell r="L1606" t="str">
            <v>Public</v>
          </cell>
        </row>
        <row r="1607">
          <cell r="L1607" t="str">
            <v>Public</v>
          </cell>
        </row>
        <row r="1608">
          <cell r="L1608" t="str">
            <v>Public</v>
          </cell>
        </row>
        <row r="1609">
          <cell r="L1609" t="str">
            <v>Public</v>
          </cell>
        </row>
        <row r="1610">
          <cell r="L1610" t="str">
            <v>Public</v>
          </cell>
        </row>
        <row r="1611">
          <cell r="L1611" t="str">
            <v>Public</v>
          </cell>
        </row>
        <row r="1612">
          <cell r="L1612" t="str">
            <v>Public</v>
          </cell>
        </row>
        <row r="1613">
          <cell r="L1613" t="str">
            <v>Public</v>
          </cell>
        </row>
        <row r="1614">
          <cell r="L1614" t="str">
            <v>Public</v>
          </cell>
        </row>
        <row r="1615">
          <cell r="L1615" t="str">
            <v>Public</v>
          </cell>
        </row>
        <row r="1616">
          <cell r="L1616" t="str">
            <v>Public</v>
          </cell>
        </row>
        <row r="1617">
          <cell r="L1617" t="str">
            <v>Public</v>
          </cell>
        </row>
        <row r="1618">
          <cell r="L1618" t="str">
            <v>Public</v>
          </cell>
        </row>
        <row r="1619">
          <cell r="L1619" t="str">
            <v>Public</v>
          </cell>
        </row>
        <row r="1620">
          <cell r="L1620" t="str">
            <v>Public</v>
          </cell>
        </row>
        <row r="1621">
          <cell r="L1621" t="str">
            <v>Public</v>
          </cell>
        </row>
        <row r="1622">
          <cell r="L1622" t="str">
            <v>Public</v>
          </cell>
        </row>
        <row r="1623">
          <cell r="L1623" t="str">
            <v>Public</v>
          </cell>
        </row>
        <row r="1624">
          <cell r="L1624" t="str">
            <v>Public</v>
          </cell>
        </row>
        <row r="1625">
          <cell r="L1625" t="str">
            <v>Public</v>
          </cell>
        </row>
        <row r="1626">
          <cell r="L1626" t="str">
            <v>Public</v>
          </cell>
        </row>
        <row r="1627">
          <cell r="L1627" t="str">
            <v>Public</v>
          </cell>
        </row>
        <row r="1628">
          <cell r="L1628" t="str">
            <v>Public</v>
          </cell>
        </row>
        <row r="1629">
          <cell r="L1629" t="str">
            <v>Public</v>
          </cell>
        </row>
        <row r="1630">
          <cell r="L1630" t="str">
            <v>Public</v>
          </cell>
        </row>
        <row r="1631">
          <cell r="L1631" t="str">
            <v>Public</v>
          </cell>
        </row>
        <row r="1632">
          <cell r="L1632" t="str">
            <v>Public</v>
          </cell>
        </row>
        <row r="1633">
          <cell r="L1633" t="str">
            <v>Public</v>
          </cell>
        </row>
        <row r="1634">
          <cell r="L1634" t="str">
            <v>Public</v>
          </cell>
        </row>
        <row r="1635">
          <cell r="L1635" t="str">
            <v>Public</v>
          </cell>
        </row>
        <row r="1636">
          <cell r="L1636" t="str">
            <v>Public</v>
          </cell>
        </row>
        <row r="1637">
          <cell r="L1637" t="str">
            <v>Public</v>
          </cell>
        </row>
        <row r="1638">
          <cell r="L1638" t="str">
            <v>Public</v>
          </cell>
        </row>
        <row r="1639">
          <cell r="L1639" t="str">
            <v>Public</v>
          </cell>
        </row>
        <row r="1640">
          <cell r="L1640" t="str">
            <v>Public</v>
          </cell>
        </row>
        <row r="1641">
          <cell r="L1641" t="str">
            <v>Public</v>
          </cell>
        </row>
        <row r="1642">
          <cell r="L1642" t="str">
            <v>Public</v>
          </cell>
        </row>
        <row r="1643">
          <cell r="L1643" t="str">
            <v>Public</v>
          </cell>
        </row>
        <row r="1644">
          <cell r="L1644" t="str">
            <v>Public</v>
          </cell>
        </row>
        <row r="1645">
          <cell r="L1645" t="str">
            <v>Public</v>
          </cell>
        </row>
        <row r="1646">
          <cell r="L1646" t="str">
            <v>Public</v>
          </cell>
        </row>
        <row r="1647">
          <cell r="L1647" t="str">
            <v>Public</v>
          </cell>
        </row>
        <row r="1648">
          <cell r="L1648" t="str">
            <v>Public</v>
          </cell>
        </row>
        <row r="1649">
          <cell r="L1649" t="str">
            <v>Public</v>
          </cell>
        </row>
        <row r="1650">
          <cell r="L1650" t="str">
            <v>Public</v>
          </cell>
        </row>
        <row r="1651">
          <cell r="L1651" t="str">
            <v>Public</v>
          </cell>
        </row>
        <row r="1652">
          <cell r="L1652" t="str">
            <v>Public</v>
          </cell>
        </row>
        <row r="1653">
          <cell r="L1653" t="str">
            <v>Public</v>
          </cell>
        </row>
        <row r="1654">
          <cell r="L1654" t="str">
            <v>Public</v>
          </cell>
        </row>
        <row r="1655">
          <cell r="L1655" t="str">
            <v>Public</v>
          </cell>
        </row>
        <row r="1656">
          <cell r="L1656" t="str">
            <v>Public</v>
          </cell>
        </row>
        <row r="1657">
          <cell r="L1657" t="str">
            <v>Public</v>
          </cell>
        </row>
        <row r="1658">
          <cell r="L1658" t="str">
            <v>Public</v>
          </cell>
        </row>
        <row r="1659">
          <cell r="L1659" t="str">
            <v>Public</v>
          </cell>
        </row>
        <row r="1660">
          <cell r="L1660" t="str">
            <v>Public</v>
          </cell>
        </row>
        <row r="1661">
          <cell r="L1661" t="str">
            <v>Public</v>
          </cell>
        </row>
        <row r="1662">
          <cell r="L1662" t="str">
            <v>Public</v>
          </cell>
        </row>
        <row r="1663">
          <cell r="L1663" t="str">
            <v>Public</v>
          </cell>
        </row>
        <row r="1664">
          <cell r="L1664" t="str">
            <v>Public</v>
          </cell>
        </row>
        <row r="1665">
          <cell r="L1665" t="str">
            <v>Public</v>
          </cell>
        </row>
        <row r="1666">
          <cell r="L1666" t="str">
            <v>Public</v>
          </cell>
        </row>
        <row r="1667">
          <cell r="L1667" t="str">
            <v>Public</v>
          </cell>
        </row>
        <row r="1668">
          <cell r="L1668" t="str">
            <v>Public</v>
          </cell>
        </row>
        <row r="1669">
          <cell r="L1669" t="str">
            <v>Public</v>
          </cell>
        </row>
        <row r="1670">
          <cell r="L1670" t="str">
            <v>Public</v>
          </cell>
        </row>
        <row r="1671">
          <cell r="L1671" t="str">
            <v>Public</v>
          </cell>
        </row>
        <row r="1672">
          <cell r="L1672" t="str">
            <v>Public</v>
          </cell>
        </row>
        <row r="1673">
          <cell r="L1673" t="str">
            <v>Public</v>
          </cell>
        </row>
        <row r="1674">
          <cell r="L1674" t="str">
            <v>Public</v>
          </cell>
        </row>
        <row r="1675">
          <cell r="L1675" t="str">
            <v>Public</v>
          </cell>
        </row>
        <row r="1676">
          <cell r="L1676" t="str">
            <v>Public</v>
          </cell>
        </row>
        <row r="1677">
          <cell r="L1677" t="str">
            <v>Public</v>
          </cell>
        </row>
        <row r="1678">
          <cell r="L1678" t="str">
            <v>Public</v>
          </cell>
        </row>
        <row r="1679">
          <cell r="L1679" t="str">
            <v>Public</v>
          </cell>
        </row>
        <row r="1680">
          <cell r="L1680" t="str">
            <v>Public</v>
          </cell>
        </row>
        <row r="1681">
          <cell r="L1681" t="str">
            <v>Public</v>
          </cell>
        </row>
        <row r="1682">
          <cell r="L1682" t="str">
            <v>Public</v>
          </cell>
        </row>
        <row r="1683">
          <cell r="L1683" t="str">
            <v>Public</v>
          </cell>
        </row>
        <row r="1684">
          <cell r="L1684" t="str">
            <v>Public</v>
          </cell>
        </row>
        <row r="1685">
          <cell r="L1685" t="str">
            <v>Public</v>
          </cell>
        </row>
        <row r="1686">
          <cell r="L1686" t="str">
            <v>Public</v>
          </cell>
        </row>
        <row r="1687">
          <cell r="L1687" t="str">
            <v>Public</v>
          </cell>
        </row>
        <row r="1688">
          <cell r="L1688" t="str">
            <v>Public</v>
          </cell>
        </row>
        <row r="1689">
          <cell r="L1689" t="str">
            <v>Public</v>
          </cell>
        </row>
        <row r="1690">
          <cell r="L1690" t="str">
            <v>Public</v>
          </cell>
        </row>
        <row r="1691">
          <cell r="L1691" t="str">
            <v>Public</v>
          </cell>
        </row>
        <row r="1692">
          <cell r="L1692" t="str">
            <v>Public</v>
          </cell>
        </row>
        <row r="1693">
          <cell r="L1693" t="str">
            <v>Public</v>
          </cell>
        </row>
        <row r="1694">
          <cell r="L1694" t="str">
            <v>Public</v>
          </cell>
        </row>
        <row r="1695">
          <cell r="L1695" t="str">
            <v>Public</v>
          </cell>
        </row>
        <row r="1696">
          <cell r="L1696" t="str">
            <v>Public</v>
          </cell>
        </row>
        <row r="1697">
          <cell r="L1697" t="str">
            <v>Public</v>
          </cell>
        </row>
        <row r="1698">
          <cell r="L1698" t="str">
            <v>Public</v>
          </cell>
        </row>
        <row r="1699">
          <cell r="L1699" t="str">
            <v>Public</v>
          </cell>
        </row>
        <row r="1700">
          <cell r="L1700" t="str">
            <v>Public</v>
          </cell>
        </row>
        <row r="1701">
          <cell r="L1701" t="str">
            <v>Public</v>
          </cell>
        </row>
        <row r="1702">
          <cell r="L1702" t="str">
            <v>Public</v>
          </cell>
        </row>
        <row r="1703">
          <cell r="L1703" t="str">
            <v>Public</v>
          </cell>
        </row>
        <row r="1704">
          <cell r="L1704" t="str">
            <v>Public</v>
          </cell>
        </row>
        <row r="1705">
          <cell r="L1705" t="str">
            <v>Public</v>
          </cell>
        </row>
        <row r="1706">
          <cell r="L1706" t="str">
            <v>Public</v>
          </cell>
        </row>
        <row r="1707">
          <cell r="L1707" t="str">
            <v>Public</v>
          </cell>
        </row>
        <row r="1708">
          <cell r="L1708" t="str">
            <v>Public</v>
          </cell>
        </row>
        <row r="1709">
          <cell r="L1709" t="str">
            <v>Public</v>
          </cell>
        </row>
        <row r="1710">
          <cell r="L1710" t="str">
            <v>Public</v>
          </cell>
        </row>
        <row r="1711">
          <cell r="L1711" t="str">
            <v>Public</v>
          </cell>
        </row>
        <row r="1712">
          <cell r="L1712" t="str">
            <v>Public</v>
          </cell>
        </row>
        <row r="1713">
          <cell r="L1713" t="str">
            <v>Public</v>
          </cell>
        </row>
        <row r="1714">
          <cell r="L1714" t="str">
            <v>Public</v>
          </cell>
        </row>
        <row r="1715">
          <cell r="L1715" t="str">
            <v>Public</v>
          </cell>
        </row>
        <row r="1716">
          <cell r="L1716" t="str">
            <v>Public</v>
          </cell>
        </row>
        <row r="1717">
          <cell r="L1717" t="str">
            <v>Public</v>
          </cell>
        </row>
        <row r="1718">
          <cell r="L1718" t="str">
            <v>Public</v>
          </cell>
        </row>
        <row r="1719">
          <cell r="L1719" t="str">
            <v>Public</v>
          </cell>
        </row>
        <row r="1720">
          <cell r="L1720" t="str">
            <v>Public</v>
          </cell>
        </row>
        <row r="1721">
          <cell r="L1721" t="str">
            <v>Public</v>
          </cell>
        </row>
        <row r="1722">
          <cell r="L1722" t="str">
            <v>Public</v>
          </cell>
        </row>
        <row r="1723">
          <cell r="L1723" t="str">
            <v>Public</v>
          </cell>
        </row>
        <row r="1724">
          <cell r="L1724" t="str">
            <v>Public</v>
          </cell>
        </row>
        <row r="1725">
          <cell r="L1725" t="str">
            <v>Public</v>
          </cell>
        </row>
        <row r="1726">
          <cell r="L1726" t="str">
            <v>Public</v>
          </cell>
        </row>
        <row r="1727">
          <cell r="L1727" t="str">
            <v>Public</v>
          </cell>
        </row>
        <row r="1728">
          <cell r="L1728" t="str">
            <v>Public</v>
          </cell>
        </row>
        <row r="1729">
          <cell r="L1729" t="str">
            <v>Public</v>
          </cell>
        </row>
        <row r="1730">
          <cell r="L1730" t="str">
            <v>Public</v>
          </cell>
        </row>
        <row r="1731">
          <cell r="L1731" t="str">
            <v>Public</v>
          </cell>
        </row>
        <row r="1732">
          <cell r="L1732" t="str">
            <v>Public</v>
          </cell>
        </row>
        <row r="1733">
          <cell r="L1733" t="str">
            <v>Public</v>
          </cell>
        </row>
        <row r="1734">
          <cell r="L1734" t="str">
            <v>Public</v>
          </cell>
        </row>
        <row r="1735">
          <cell r="L1735" t="str">
            <v>Public</v>
          </cell>
        </row>
        <row r="1736">
          <cell r="L1736" t="str">
            <v>Public</v>
          </cell>
        </row>
        <row r="1737">
          <cell r="L1737" t="str">
            <v>Public</v>
          </cell>
        </row>
        <row r="1738">
          <cell r="L1738" t="str">
            <v>Public</v>
          </cell>
        </row>
        <row r="1739">
          <cell r="L1739" t="str">
            <v>Public</v>
          </cell>
        </row>
        <row r="1740">
          <cell r="L1740" t="str">
            <v>Public</v>
          </cell>
        </row>
        <row r="1741">
          <cell r="L1741" t="str">
            <v>Public</v>
          </cell>
        </row>
        <row r="1742">
          <cell r="L1742" t="str">
            <v>Public</v>
          </cell>
        </row>
        <row r="1743">
          <cell r="L1743" t="str">
            <v>Public</v>
          </cell>
        </row>
        <row r="1744">
          <cell r="L1744" t="str">
            <v>Public</v>
          </cell>
        </row>
        <row r="1745">
          <cell r="L1745" t="str">
            <v>Public</v>
          </cell>
        </row>
        <row r="1746">
          <cell r="L1746" t="str">
            <v>Public</v>
          </cell>
        </row>
        <row r="1747">
          <cell r="L1747" t="str">
            <v>Public</v>
          </cell>
        </row>
        <row r="1748">
          <cell r="L1748" t="str">
            <v>Public</v>
          </cell>
        </row>
        <row r="1749">
          <cell r="L1749" t="str">
            <v>Public</v>
          </cell>
        </row>
        <row r="1750">
          <cell r="L1750" t="str">
            <v>Public</v>
          </cell>
        </row>
        <row r="1751">
          <cell r="L1751" t="str">
            <v>Public</v>
          </cell>
        </row>
        <row r="1752">
          <cell r="L1752" t="str">
            <v>Public</v>
          </cell>
        </row>
        <row r="1753">
          <cell r="L1753" t="str">
            <v>Public</v>
          </cell>
        </row>
        <row r="1754">
          <cell r="L1754" t="str">
            <v>Public</v>
          </cell>
        </row>
        <row r="1755">
          <cell r="L1755" t="str">
            <v>Public</v>
          </cell>
        </row>
        <row r="1756">
          <cell r="L1756" t="str">
            <v>Public</v>
          </cell>
        </row>
        <row r="1757">
          <cell r="L1757" t="str">
            <v>Public</v>
          </cell>
        </row>
        <row r="1758">
          <cell r="L1758" t="str">
            <v>Public</v>
          </cell>
        </row>
        <row r="1759">
          <cell r="L1759" t="str">
            <v>Public</v>
          </cell>
        </row>
        <row r="1760">
          <cell r="L1760" t="str">
            <v>Public</v>
          </cell>
        </row>
        <row r="1761">
          <cell r="L1761" t="str">
            <v>Public</v>
          </cell>
        </row>
        <row r="1762">
          <cell r="L1762" t="str">
            <v>Public</v>
          </cell>
        </row>
        <row r="1763">
          <cell r="L1763" t="str">
            <v>Public</v>
          </cell>
        </row>
        <row r="1764">
          <cell r="L1764" t="str">
            <v>Public</v>
          </cell>
        </row>
        <row r="1765">
          <cell r="L1765" t="str">
            <v>Public</v>
          </cell>
        </row>
        <row r="1766">
          <cell r="L1766" t="str">
            <v>Public</v>
          </cell>
        </row>
        <row r="1767">
          <cell r="L1767" t="str">
            <v>Public</v>
          </cell>
        </row>
        <row r="1768">
          <cell r="L1768" t="str">
            <v>Public</v>
          </cell>
        </row>
        <row r="1769">
          <cell r="L1769" t="str">
            <v>Public</v>
          </cell>
        </row>
        <row r="1770">
          <cell r="L1770" t="str">
            <v>Public</v>
          </cell>
        </row>
        <row r="1771">
          <cell r="L1771" t="str">
            <v>Public</v>
          </cell>
        </row>
        <row r="1772">
          <cell r="L1772" t="str">
            <v>Public</v>
          </cell>
        </row>
        <row r="1773">
          <cell r="L1773" t="str">
            <v>Public</v>
          </cell>
        </row>
        <row r="1774">
          <cell r="L1774" t="str">
            <v>Public</v>
          </cell>
        </row>
        <row r="1775">
          <cell r="L1775" t="str">
            <v>Public</v>
          </cell>
        </row>
      </sheetData>
      <sheetData sheetId="2">
        <row r="6">
          <cell r="C6">
            <v>152</v>
          </cell>
          <cell r="D6">
            <v>44</v>
          </cell>
          <cell r="E6">
            <v>41</v>
          </cell>
          <cell r="F6">
            <v>41</v>
          </cell>
          <cell r="G6">
            <v>46</v>
          </cell>
          <cell r="H6">
            <v>38</v>
          </cell>
          <cell r="I6">
            <v>63</v>
          </cell>
          <cell r="J6">
            <v>54</v>
          </cell>
          <cell r="L6">
            <v>105</v>
          </cell>
          <cell r="M6">
            <v>128</v>
          </cell>
          <cell r="N6">
            <v>123</v>
          </cell>
          <cell r="O6">
            <v>13</v>
          </cell>
        </row>
        <row r="23">
          <cell r="C23">
            <v>20</v>
          </cell>
          <cell r="D23">
            <v>21</v>
          </cell>
          <cell r="E23">
            <v>18</v>
          </cell>
          <cell r="F23">
            <v>19</v>
          </cell>
          <cell r="G23">
            <v>23</v>
          </cell>
          <cell r="H23">
            <v>18</v>
          </cell>
          <cell r="I23">
            <v>22</v>
          </cell>
          <cell r="J23">
            <v>17</v>
          </cell>
          <cell r="L23">
            <v>26</v>
          </cell>
          <cell r="M23">
            <v>21</v>
          </cell>
          <cell r="N23">
            <v>18</v>
          </cell>
          <cell r="O23">
            <v>5</v>
          </cell>
        </row>
      </sheetData>
      <sheetData sheetId="3"/>
      <sheetData sheetId="4">
        <row r="74">
          <cell r="K74" t="str">
            <v>Total</v>
          </cell>
        </row>
        <row r="106">
          <cell r="C106" t="str">
            <v>Total</v>
          </cell>
        </row>
        <row r="107">
          <cell r="B107" t="str">
            <v>France</v>
          </cell>
          <cell r="C107">
            <v>496</v>
          </cell>
        </row>
        <row r="108">
          <cell r="B108" t="str">
            <v>Italy</v>
          </cell>
          <cell r="C108">
            <v>156</v>
          </cell>
        </row>
        <row r="109">
          <cell r="B109" t="str">
            <v>Spain</v>
          </cell>
          <cell r="C109">
            <v>90</v>
          </cell>
        </row>
        <row r="110">
          <cell r="B110" t="str">
            <v>Bulgaria</v>
          </cell>
          <cell r="C110">
            <v>66</v>
          </cell>
        </row>
        <row r="111">
          <cell r="B111" t="str">
            <v>Portugal</v>
          </cell>
          <cell r="C111">
            <v>61</v>
          </cell>
        </row>
        <row r="112">
          <cell r="B112" t="str">
            <v>Germany</v>
          </cell>
          <cell r="C112">
            <v>58</v>
          </cell>
        </row>
        <row r="113">
          <cell r="B113" t="str">
            <v>Greece</v>
          </cell>
          <cell r="C113">
            <v>40</v>
          </cell>
        </row>
        <row r="114">
          <cell r="B114" t="str">
            <v>Belgium</v>
          </cell>
          <cell r="C114">
            <v>37</v>
          </cell>
        </row>
        <row r="115">
          <cell r="B115" t="str">
            <v>Croatia</v>
          </cell>
          <cell r="C115">
            <v>21</v>
          </cell>
        </row>
        <row r="116">
          <cell r="B116" t="str">
            <v>Slovenia</v>
          </cell>
          <cell r="C116">
            <v>20</v>
          </cell>
        </row>
        <row r="117">
          <cell r="B117" t="str">
            <v>Hungary</v>
          </cell>
          <cell r="C117">
            <v>18</v>
          </cell>
        </row>
        <row r="118">
          <cell r="B118" t="str">
            <v>Poland</v>
          </cell>
          <cell r="C118">
            <v>18</v>
          </cell>
        </row>
        <row r="119">
          <cell r="B119" t="str">
            <v>Netherlands</v>
          </cell>
          <cell r="C119">
            <v>12</v>
          </cell>
        </row>
        <row r="120">
          <cell r="B120" t="str">
            <v>Austria</v>
          </cell>
          <cell r="C120">
            <v>9</v>
          </cell>
        </row>
        <row r="121">
          <cell r="B121" t="str">
            <v>Sweden</v>
          </cell>
          <cell r="C121">
            <v>7</v>
          </cell>
        </row>
        <row r="122">
          <cell r="B122" t="str">
            <v>Ireland</v>
          </cell>
          <cell r="C122">
            <v>6</v>
          </cell>
        </row>
        <row r="123">
          <cell r="B123" t="str">
            <v>Finland</v>
          </cell>
          <cell r="C123">
            <v>5</v>
          </cell>
        </row>
        <row r="124">
          <cell r="B124" t="str">
            <v>Malta</v>
          </cell>
          <cell r="C124">
            <v>5</v>
          </cell>
        </row>
        <row r="125">
          <cell r="B125" t="str">
            <v>Denmark</v>
          </cell>
          <cell r="C125">
            <v>3</v>
          </cell>
        </row>
        <row r="126">
          <cell r="B126" t="str">
            <v>Latvia</v>
          </cell>
          <cell r="C126">
            <v>3</v>
          </cell>
        </row>
        <row r="127">
          <cell r="B127" t="str">
            <v>Romania</v>
          </cell>
          <cell r="C127">
            <v>3</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PDF/?uri=CELEX:32013R1308" TargetMode="External"/><Relationship Id="rId3" Type="http://schemas.openxmlformats.org/officeDocument/2006/relationships/hyperlink" Target="https://ec.europa.eu/eurostat/documents/342366/351811/Guidance+on+food+waste+reporting/5581b0a2-b09e-adc0-4e0a-b20062dfe564" TargetMode="External"/><Relationship Id="rId7" Type="http://schemas.openxmlformats.org/officeDocument/2006/relationships/hyperlink" Target="https://ec.europa.eu/food/food-feed-portal/screen/food-additives/categories" TargetMode="External"/><Relationship Id="rId2" Type="http://schemas.openxmlformats.org/officeDocument/2006/relationships/hyperlink" Target="https://ec.europa.eu/eurostat/documents/342366/351811/Guidance+on+food+waste+reporting/5581b0a2-b09e-adc0-4e0a-b20062dfe564" TargetMode="External"/><Relationship Id="rId1" Type="http://schemas.openxmlformats.org/officeDocument/2006/relationships/hyperlink" Target="https://eur-lex.europa.eu/legal-content/EN/TXT/PDF/?uri=CELEX:32013R1308" TargetMode="External"/><Relationship Id="rId6" Type="http://schemas.openxmlformats.org/officeDocument/2006/relationships/hyperlink" Target="https://ec.europa.eu/eurostat/documents/342366/351811/Guidance+on+food+waste+reporting/5581b0a2-b09e-adc0-4e0a-b20062dfe564" TargetMode="External"/><Relationship Id="rId5" Type="http://schemas.openxmlformats.org/officeDocument/2006/relationships/hyperlink" Target="https://ec.europa.eu/eurostat/documents/342366/351811/Guidance+on+food+waste+reporting/5581b0a2-b09e-adc0-4e0a-b20062dfe564" TargetMode="External"/><Relationship Id="rId10" Type="http://schemas.openxmlformats.org/officeDocument/2006/relationships/drawing" Target="../drawings/drawing1.xml"/><Relationship Id="rId4" Type="http://schemas.openxmlformats.org/officeDocument/2006/relationships/hyperlink" Target="https://ec.europa.eu/eurostat/documents/342366/351811/Guidance+on+food+waste+reporting/5581b0a2-b09e-adc0-4e0a-b20062dfe564" TargetMode="External"/><Relationship Id="rId9" Type="http://schemas.openxmlformats.org/officeDocument/2006/relationships/hyperlink" Target="https://knowledge4policy.ec.europa.eu/publication/brief-food-waste-european-union_en"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c.europa.eu/agriculture/eambrosia/geographical-indications-register/" TargetMode="External"/><Relationship Id="rId671" Type="http://schemas.openxmlformats.org/officeDocument/2006/relationships/hyperlink" Target="https://read.oecd-ilibrary.org/agriculture-and-food/cucumbers_9789264045262-en-fr" TargetMode="External"/><Relationship Id="rId769" Type="http://schemas.openxmlformats.org/officeDocument/2006/relationships/hyperlink" Target="https://unece.org/sites/default/files/2024-03/FFV-41_Courgettes_2023_e.pdf" TargetMode="External"/><Relationship Id="rId21" Type="http://schemas.openxmlformats.org/officeDocument/2006/relationships/hyperlink" Target="https://info.bml.gv.at/themen/landwirtschaft/betriebswirtschaftliches-vermarktung/vermarktungsnormen/Gefluegelfleisch.html" TargetMode="External"/><Relationship Id="rId324" Type="http://schemas.openxmlformats.org/officeDocument/2006/relationships/hyperlink" Target="https://eko-keurmerk.nl/assets/downloads/EKO_Normen_Glastuinbouw.pdf" TargetMode="External"/><Relationship Id="rId531" Type="http://schemas.openxmlformats.org/officeDocument/2006/relationships/hyperlink" Target="https://www.oecd-ilibrary.org/docserver/dda2dfce-en-fr.pdf?expires=1714684906&amp;id=id&amp;accname=guest&amp;checksum=F9E18B0470BCBB1240457C7D3BA41C20" TargetMode="External"/><Relationship Id="rId629" Type="http://schemas.openxmlformats.org/officeDocument/2006/relationships/hyperlink" Target="https://read.oecd-ilibrary.org/agriculture-and-food/broccoli_9789264188822-en-fr" TargetMode="External"/><Relationship Id="rId170" Type="http://schemas.openxmlformats.org/officeDocument/2006/relationships/hyperlink" Target="https://ec.europa.eu/agriculture/eambrosia/geographical-indications-register/" TargetMode="External"/><Relationship Id="rId836" Type="http://schemas.openxmlformats.org/officeDocument/2006/relationships/hyperlink" Target="https://unece.org/sites/default/files/2024-03/FFV-49_Pineapples_2023_e.pdf" TargetMode="External"/><Relationship Id="rId268" Type="http://schemas.openxmlformats.org/officeDocument/2006/relationships/hyperlink" Target="https://ec.europa.eu/agriculture/eambrosia/geographical-indications-register/" TargetMode="External"/><Relationship Id="rId475" Type="http://schemas.openxmlformats.org/officeDocument/2006/relationships/hyperlink" Target="https://www.oecd-ilibrary.org/docserver/9789264272941-en-fr.pdf?expires=1714684325&amp;id=id&amp;accname=guest&amp;checksum=51E7DB1330BBA930286B91FBC4337913" TargetMode="External"/><Relationship Id="rId682" Type="http://schemas.openxmlformats.org/officeDocument/2006/relationships/hyperlink" Target="https://read.oecd-ilibrary.org/agriculture-and-food/cultivated-mushrooms_9789264013261-en-fr" TargetMode="External"/><Relationship Id="rId903" Type="http://schemas.openxmlformats.org/officeDocument/2006/relationships/hyperlink" Target="https://eur-lex.europa.eu/legal-content/EN/TXT/?uri=CELEX%3A02011R0543-20221024&amp;qid=1681464333326" TargetMode="External"/><Relationship Id="rId32" Type="http://schemas.openxmlformats.org/officeDocument/2006/relationships/hyperlink" Target="https://pisrs.si/pregledPredpisa?id=PRAV11665" TargetMode="External"/><Relationship Id="rId128" Type="http://schemas.openxmlformats.org/officeDocument/2006/relationships/hyperlink" Target="https://ec.europa.eu/agriculture/eambrosia/geographical-indications-register/" TargetMode="External"/><Relationship Id="rId335" Type="http://schemas.openxmlformats.org/officeDocument/2006/relationships/hyperlink" Target="https://standardsmap.org/en/factsheet/583/how-to-comply" TargetMode="External"/><Relationship Id="rId542" Type="http://schemas.openxmlformats.org/officeDocument/2006/relationships/hyperlink" Target="https://read.oecd-ilibrary.org/agriculture-and-food/pomegranate_9789264206700-en-fr" TargetMode="External"/><Relationship Id="rId181" Type="http://schemas.openxmlformats.org/officeDocument/2006/relationships/hyperlink" Target="https://ec.europa.eu/agriculture/eambrosia/geographical-indications-register/" TargetMode="External"/><Relationship Id="rId402" Type="http://schemas.openxmlformats.org/officeDocument/2006/relationships/hyperlink" Target="https://www.fao.org/fao-who-codexalimentarius/sh-proxy/en/?lnk=1&amp;url=https%253A%252F%252Fworkspace.fao.org%252Fsites%252Fcodex%252FStandards%252FCXS%2B330-2018%252FCXS_330e.pdf" TargetMode="External"/><Relationship Id="rId847" Type="http://schemas.openxmlformats.org/officeDocument/2006/relationships/hyperlink" Target="https://unece.org/sites/default/files/2024-03/FFV-40_Rhubarb_2023_e.pdf" TargetMode="External"/><Relationship Id="rId279" Type="http://schemas.openxmlformats.org/officeDocument/2006/relationships/hyperlink" Target="https://www.inao.gouv.fr/content/download/3815/33665/version/1/file/CP_INAO_La_Cerise_des_Coteaux_du_Ventoux_reconnue_en_IGP.pdf" TargetMode="External"/><Relationship Id="rId486" Type="http://schemas.openxmlformats.org/officeDocument/2006/relationships/hyperlink" Target="https://read.oecd-ilibrary.org/agriculture-and-food/inshell-hazelnuts-and-hazelnut-kernels_9789264166721-en-fr" TargetMode="External"/><Relationship Id="rId693" Type="http://schemas.openxmlformats.org/officeDocument/2006/relationships/hyperlink" Target="https://unece.org/sites/default/files/2024-03/FFV-08_Brussels_sprouts_2023_e.pdf" TargetMode="External"/><Relationship Id="rId707" Type="http://schemas.openxmlformats.org/officeDocument/2006/relationships/hyperlink" Target="https://unece.org/sites/default/files/2024-03/FFV-03_Artichokes_2023_e.pdf" TargetMode="External"/><Relationship Id="rId914" Type="http://schemas.openxmlformats.org/officeDocument/2006/relationships/hyperlink" Target="https://eur-lex.europa.eu/legal-content/EN/TXT/?uri=CELEX%3A02011R0543-20221024&amp;qid=1681464333326" TargetMode="External"/><Relationship Id="rId43" Type="http://schemas.openxmlformats.org/officeDocument/2006/relationships/hyperlink" Target="https://www.faoadriamed.org/html/Legislation/LegITAComp.html" TargetMode="External"/><Relationship Id="rId139" Type="http://schemas.openxmlformats.org/officeDocument/2006/relationships/hyperlink" Target="https://ec.europa.eu/agriculture/eambrosia/geographical-indications-register/" TargetMode="External"/><Relationship Id="rId346" Type="http://schemas.openxmlformats.org/officeDocument/2006/relationships/hyperlink" Target="https://asc-aqua.org/the-new-asc-farm-standard/" TargetMode="External"/><Relationship Id="rId553" Type="http://schemas.openxmlformats.org/officeDocument/2006/relationships/hyperlink" Target="https://read.oecd-ilibrary.org/agriculture-and-food/early-and-ware-potatoes_9789264068391-en-fr" TargetMode="External"/><Relationship Id="rId760" Type="http://schemas.openxmlformats.org/officeDocument/2006/relationships/hyperlink" Target="https://unece.org/sites/default/files/2024-03/FFV-61_Chilli_peppers_2023_e.pdf" TargetMode="External"/><Relationship Id="rId192" Type="http://schemas.openxmlformats.org/officeDocument/2006/relationships/hyperlink" Target="https://ec.europa.eu/agriculture/eambrosia/geographical-indications-register/" TargetMode="External"/><Relationship Id="rId206" Type="http://schemas.openxmlformats.org/officeDocument/2006/relationships/hyperlink" Target="https://ec.europa.eu/agriculture/eambrosia/geographical-indications-register/" TargetMode="External"/><Relationship Id="rId413" Type="http://schemas.openxmlformats.org/officeDocument/2006/relationships/hyperlink" Target="https://www.fao.org/fao-who-codexalimentarius/sh-proxy/en/?lnk=1&amp;url=https%253A%252F%252Fworkspace.fao.org%252Fsites%252Fcodex%252FStandards%252FCXS%2B153-1985%252FCXS_153e.pdf" TargetMode="External"/><Relationship Id="rId858" Type="http://schemas.openxmlformats.org/officeDocument/2006/relationships/hyperlink" Target="https://unece.org/sites/default/files/2024-03/FFV-23_Melons_2023_e.pdf" TargetMode="External"/><Relationship Id="rId497" Type="http://schemas.openxmlformats.org/officeDocument/2006/relationships/hyperlink" Target="https://www.oecd-ilibrary.org/docserver/f9210db0-en-fr.pdf?expires=1714684643&amp;id=id&amp;accname=guest&amp;checksum=FF14B51CAE784302E24CB710A213E6FB" TargetMode="External"/><Relationship Id="rId620" Type="http://schemas.openxmlformats.org/officeDocument/2006/relationships/hyperlink" Target="https://read.oecd-ilibrary.org/agriculture-and-food/beans_0bc40eec-en-fr" TargetMode="External"/><Relationship Id="rId718" Type="http://schemas.openxmlformats.org/officeDocument/2006/relationships/hyperlink" Target="https://unece.org/sites/default/files/2024-03/FFV-47_Annonas_2023_e.pdf" TargetMode="External"/><Relationship Id="rId925" Type="http://schemas.openxmlformats.org/officeDocument/2006/relationships/hyperlink" Target="https://eur-lex.europa.eu/legal-content/EN/TXT/?uri=CELEX%3A02011R0543-20221024&amp;qid=1681464333326" TargetMode="External"/><Relationship Id="rId357" Type="http://schemas.openxmlformats.org/officeDocument/2006/relationships/hyperlink" Target="https://www.globalgap.org/what-we-offer/solutions/non-gm/" TargetMode="External"/><Relationship Id="rId54" Type="http://schemas.openxmlformats.org/officeDocument/2006/relationships/hyperlink" Target="https://www.politicheagricole.it/flex/cm/pages/ServeBLOB.php/L/IT/IDPagina/12259" TargetMode="External"/><Relationship Id="rId217" Type="http://schemas.openxmlformats.org/officeDocument/2006/relationships/hyperlink" Target="https://ec.europa.eu/agriculture/eambrosia/geographical-indications-register/" TargetMode="External"/><Relationship Id="rId564" Type="http://schemas.openxmlformats.org/officeDocument/2006/relationships/hyperlink" Target="https://read.oecd-ilibrary.org/agriculture-and-food/shallots_9789264213265-en-fr" TargetMode="External"/><Relationship Id="rId771" Type="http://schemas.openxmlformats.org/officeDocument/2006/relationships/hyperlink" Target="https://unece.org/sites/default/files/2024-03/FFV-16_Fennel_2023_e.pdf" TargetMode="External"/><Relationship Id="rId869" Type="http://schemas.openxmlformats.org/officeDocument/2006/relationships/hyperlink" Target="https://eur-lex.europa.eu/legal-content/EN/TXT/HTML/?uri=PI_COM:C(2023)5448" TargetMode="External"/><Relationship Id="rId424" Type="http://schemas.openxmlformats.org/officeDocument/2006/relationships/hyperlink" Target="https://www.fao.org/fao-who-codexalimentarius/sh-proxy/en/?lnk=1&amp;url=https%253A%252F%252Fworkspace.fao.org%252Fsites%252Fcodex%252FStandards%252FCXS%2B201-1995%252FCXS_201e.pdf" TargetMode="External"/><Relationship Id="rId631" Type="http://schemas.openxmlformats.org/officeDocument/2006/relationships/hyperlink" Target="https://read.oecd-ilibrary.org/agriculture-and-food/broccoli_9789264188822-en-fr" TargetMode="External"/><Relationship Id="rId729" Type="http://schemas.openxmlformats.org/officeDocument/2006/relationships/hyperlink" Target="https://unece.org/sites/default/files/2023-12/FFV11_Cauliflowers_2023_e.pdf" TargetMode="External"/><Relationship Id="rId270" Type="http://schemas.openxmlformats.org/officeDocument/2006/relationships/hyperlink" Target="https://ec.europa.eu/agriculture/eambrosia/geographical-indications-register/" TargetMode="External"/><Relationship Id="rId936" Type="http://schemas.openxmlformats.org/officeDocument/2006/relationships/hyperlink" Target="https://eur-lex.europa.eu/legal-content/EN/TXT/?uri=CELEX%3A02011R0543-20221024&amp;qid=1681464333326" TargetMode="External"/><Relationship Id="rId65" Type="http://schemas.openxmlformats.org/officeDocument/2006/relationships/hyperlink" Target="https://www.fao.org/faolex/results/details/en/c/LEX-FAOC031853/" TargetMode="External"/><Relationship Id="rId130" Type="http://schemas.openxmlformats.org/officeDocument/2006/relationships/hyperlink" Target="https://ec.europa.eu/agriculture/eambrosia/geographical-indications-register/" TargetMode="External"/><Relationship Id="rId368" Type="http://schemas.openxmlformats.org/officeDocument/2006/relationships/hyperlink" Target="https://www.brcgs.com/store/global-standard-ethical-trade-and-responsible-sourcing-(issue-2.1)/p-19031/" TargetMode="External"/><Relationship Id="rId575" Type="http://schemas.openxmlformats.org/officeDocument/2006/relationships/hyperlink" Target="https://read.oecd-ilibrary.org/agriculture-and-food/watermelons_9789264178960-en-fr" TargetMode="External"/><Relationship Id="rId782" Type="http://schemas.openxmlformats.org/officeDocument/2006/relationships/hyperlink" Target="https://unece.org/sites/default/files/2023-12/FFV-58_Leafy_vegetables_2023_e.pdf" TargetMode="External"/><Relationship Id="rId228" Type="http://schemas.openxmlformats.org/officeDocument/2006/relationships/hyperlink" Target="https://ec.europa.eu/agriculture/eambrosia/geographical-indications-register/" TargetMode="External"/><Relationship Id="rId435" Type="http://schemas.openxmlformats.org/officeDocument/2006/relationships/hyperlink" Target="https://www.fao.org/fao-who-codexalimentarius/sh-proxy/en/?lnk=1&amp;url=https%253A%252F%252Fworkspace.fao.org%252Fsites%252Fcodex%252FStandards%252FCXS%2B60-1981%252FCXS_060e.pdf" TargetMode="External"/><Relationship Id="rId642" Type="http://schemas.openxmlformats.org/officeDocument/2006/relationships/hyperlink" Target="https://read.oecd-ilibrary.org/agriculture-and-food/carrots_9789264081871-en-fr" TargetMode="External"/><Relationship Id="rId281" Type="http://schemas.openxmlformats.org/officeDocument/2006/relationships/hyperlink" Target="https://ec.europa.eu/agriculture/eambrosia/geographical-indications-register/" TargetMode="External"/><Relationship Id="rId502" Type="http://schemas.openxmlformats.org/officeDocument/2006/relationships/hyperlink" Target="https://www.oecd-ilibrary.org/docserver/f9210db0-en-fr.pdf?expires=1714684643&amp;id=id&amp;accname=guest&amp;checksum=FF14B51CAE784302E24CB710A213E6FB" TargetMode="External"/><Relationship Id="rId947" Type="http://schemas.openxmlformats.org/officeDocument/2006/relationships/hyperlink" Target="https://eur-lex.europa.eu/legal-content/EN/TXT/?uri=CELEX%3A02011R0543-20221024&amp;qid=1681464333326" TargetMode="External"/><Relationship Id="rId76" Type="http://schemas.openxmlformats.org/officeDocument/2006/relationships/hyperlink" Target="https://ec.europa.eu/agriculture/eambrosia/geographical-indications-register/" TargetMode="External"/><Relationship Id="rId141" Type="http://schemas.openxmlformats.org/officeDocument/2006/relationships/hyperlink" Target="https://ec.europa.eu/agriculture/eambrosia/geographical-indications-register/" TargetMode="External"/><Relationship Id="rId379" Type="http://schemas.openxmlformats.org/officeDocument/2006/relationships/hyperlink" Target="https://www.fao.org/fao-who-codexalimentarius/sh-proxy/en/?lnk=1&amp;url=https%253A%252F%252Fworkspace.fao.org%252Fsites%252Fcodex%252FStandards%252FCXS%2B143-1985%252FCXS_143e.pdf" TargetMode="External"/><Relationship Id="rId586" Type="http://schemas.openxmlformats.org/officeDocument/2006/relationships/hyperlink" Target="https://www.oecd.org/agriculture/fruit-vegetables/publications/brochures/apricots-9789264084902-en-fr.htm" TargetMode="External"/><Relationship Id="rId793" Type="http://schemas.openxmlformats.org/officeDocument/2006/relationships/hyperlink" Target="https://unece.org/sites/default/files/2024-03/FFV-63_Persimmons_2023_e.pdf" TargetMode="External"/><Relationship Id="rId807" Type="http://schemas.openxmlformats.org/officeDocument/2006/relationships/hyperlink" Target="https://unece.org/sites/default/files/2024-03/FFV-62_Quince_2023_e.pdf" TargetMode="External"/><Relationship Id="rId7" Type="http://schemas.openxmlformats.org/officeDocument/2006/relationships/hyperlink" Target="https://bfsa.egov.bg/wps/wcm/connect/bfsa.egov.bg19113/ee01b1f8-6531-463e-9369-12f56594d7fe/NAREDBA___1_ot_9012008_g_za_iziskvaniqta_za_targoviq_s_qjca__%28Zagl_izm_-_DV_br_94_ot_2013_g%29.pdf?MOD=AJPERES&amp;CVID=obJLx1d" TargetMode="External"/><Relationship Id="rId239" Type="http://schemas.openxmlformats.org/officeDocument/2006/relationships/hyperlink" Target="https://ec.europa.eu/agriculture/eambrosia/geographical-indications-register/" TargetMode="External"/><Relationship Id="rId446" Type="http://schemas.openxmlformats.org/officeDocument/2006/relationships/hyperlink" Target="https://www.fao.org/fao-who-codexalimentarius/sh-proxy/en/?lnk=1&amp;url=https%253A%252F%252Fworkspace.fao.org%252Fsites%252Fcodex%252FStandards%252FCXS%2B3-1981%252FCXS_003e.pdf" TargetMode="External"/><Relationship Id="rId653" Type="http://schemas.openxmlformats.org/officeDocument/2006/relationships/hyperlink" Target="https://read.oecd-ilibrary.org/agriculture-and-food/chicory_cf4b9857-en-fr" TargetMode="External"/><Relationship Id="rId292" Type="http://schemas.openxmlformats.org/officeDocument/2006/relationships/hyperlink" Target="https://unece.org/sites/default/files/2024-03/FFV-14_Citrus_fruit_2023_e.pdf" TargetMode="External"/><Relationship Id="rId306" Type="http://schemas.openxmlformats.org/officeDocument/2006/relationships/hyperlink" Target="https://static.ah.nl/binaries/ah/content/assets/ah-nl/core/about/duurzaamheid/handleidingvarken.pdf" TargetMode="External"/><Relationship Id="rId860" Type="http://schemas.openxmlformats.org/officeDocument/2006/relationships/hyperlink" Target="https://unece.org/sites/default/files/2024-03/FFV-60_Lambs_lettuce_2023_e.pdf" TargetMode="External"/><Relationship Id="rId958" Type="http://schemas.openxmlformats.org/officeDocument/2006/relationships/hyperlink" Target="https://eur-lex.europa.eu/legal-content/EN/ALL/?uri=celex%3A32006R1924" TargetMode="External"/><Relationship Id="rId87" Type="http://schemas.openxmlformats.org/officeDocument/2006/relationships/hyperlink" Target="https://ec.europa.eu/agriculture/eambrosia/geographical-indications-register/" TargetMode="External"/><Relationship Id="rId513" Type="http://schemas.openxmlformats.org/officeDocument/2006/relationships/hyperlink" Target="https://read.oecd-ilibrary.org/agriculture-and-food/onions_9789264175082-en-fr" TargetMode="External"/><Relationship Id="rId597" Type="http://schemas.openxmlformats.org/officeDocument/2006/relationships/hyperlink" Target="https://read.oecd-ilibrary.org/agriculture-and-food/avocados_44a6e19b-en-fr-es" TargetMode="External"/><Relationship Id="rId720" Type="http://schemas.openxmlformats.org/officeDocument/2006/relationships/hyperlink" Target="https://unece.org/sites/default/files/2024-03/FFV-47_Annonas_2023_e.pdf" TargetMode="External"/><Relationship Id="rId818" Type="http://schemas.openxmlformats.org/officeDocument/2006/relationships/hyperlink" Target="https://unece.org/sites/default/files/2023-12/FFV-39_Sweet_Chestnuts_2023_e.pdf" TargetMode="External"/><Relationship Id="rId152" Type="http://schemas.openxmlformats.org/officeDocument/2006/relationships/hyperlink" Target="https://ec.europa.eu/agriculture/eambrosia/geographical-indications-register/" TargetMode="External"/><Relationship Id="rId457" Type="http://schemas.openxmlformats.org/officeDocument/2006/relationships/hyperlink" Target="https://www.woah.org/app/uploads/2021/03/en-normes.pdf" TargetMode="External"/><Relationship Id="rId664" Type="http://schemas.openxmlformats.org/officeDocument/2006/relationships/hyperlink" Target="https://read.oecd-ilibrary.org/agriculture-and-food/cherries_9789264248625-en-fr" TargetMode="External"/><Relationship Id="rId871" Type="http://schemas.openxmlformats.org/officeDocument/2006/relationships/hyperlink" Target="https://eur-lex.europa.eu/legal-content/EN/ALL/?uri=CELEX%3A31996R2406" TargetMode="External"/><Relationship Id="rId969" Type="http://schemas.openxmlformats.org/officeDocument/2006/relationships/hyperlink" Target="https://diariodarepublica.pt/dr/analise-juridica/portaria/1421-2006-552299" TargetMode="External"/><Relationship Id="rId14" Type="http://schemas.openxmlformats.org/officeDocument/2006/relationships/hyperlink" Target="https://bfsa.egov.bg/wps/wcm/connect/bfsa.egov.bg19113/9b327f87-1f57-4606-a225-cba424cfba2d/NAREDBA_za_predostavqneto_na_informaciq_na_potrebitelite_za_hranite.pdf?MOD=AJPERES&amp;CVID=obfYt71" TargetMode="External"/><Relationship Id="rId317" Type="http://schemas.openxmlformats.org/officeDocument/2006/relationships/hyperlink" Target="https://www.aldi.fr/produits/NosProduitsBio.html" TargetMode="External"/><Relationship Id="rId524" Type="http://schemas.openxmlformats.org/officeDocument/2006/relationships/hyperlink" Target="https://www.oecd.org/agriculture/fruit-vegetables/publications/brochures/Brochure%20Passion%20Fruit%202023%20interactif%20%20%20Fiches%20V2.pdf" TargetMode="External"/><Relationship Id="rId731" Type="http://schemas.openxmlformats.org/officeDocument/2006/relationships/hyperlink" Target="https://unece.org/sites/default/files/2023-12/FFV11_Cauliflowers_2023_e.pdf" TargetMode="External"/><Relationship Id="rId98" Type="http://schemas.openxmlformats.org/officeDocument/2006/relationships/hyperlink" Target="https://ec.europa.eu/agriculture/eambrosia/geographical-indications-register/" TargetMode="External"/><Relationship Id="rId163" Type="http://schemas.openxmlformats.org/officeDocument/2006/relationships/hyperlink" Target="https://ec.europa.eu/agriculture/eambrosia/geographical-indications-register/" TargetMode="External"/><Relationship Id="rId370" Type="http://schemas.openxmlformats.org/officeDocument/2006/relationships/hyperlink" Target="https://www.fairforlife.org/pmws/indexDOM.php?client_id=fairforlife&amp;page_id=home&amp;lang_iso639=en" TargetMode="External"/><Relationship Id="rId829" Type="http://schemas.openxmlformats.org/officeDocument/2006/relationships/hyperlink" Target="https://unece.org/sites/default/files/2024-03/FFV-53_Truffles_2023_e.pdf" TargetMode="External"/><Relationship Id="rId230" Type="http://schemas.openxmlformats.org/officeDocument/2006/relationships/hyperlink" Target="https://ec.europa.eu/agriculture/eambrosia/geographical-indications-register/" TargetMode="External"/><Relationship Id="rId468" Type="http://schemas.openxmlformats.org/officeDocument/2006/relationships/hyperlink" Target="https://read.oecd-ilibrary.org/agriculture-and-food/fresh-figs_9789264234086-en-fr" TargetMode="External"/><Relationship Id="rId675" Type="http://schemas.openxmlformats.org/officeDocument/2006/relationships/hyperlink" Target="https://read.oecd-ilibrary.org/agriculture-and-food/cucumbers_9789264045262-en-fr" TargetMode="External"/><Relationship Id="rId882" Type="http://schemas.openxmlformats.org/officeDocument/2006/relationships/hyperlink" Target="https://eur-lex.europa.eu/legal-content/EN/TXT/?uri=CELEX%3A02011R0543-20221024&amp;qid=1681464333326" TargetMode="External"/><Relationship Id="rId25" Type="http://schemas.openxmlformats.org/officeDocument/2006/relationships/hyperlink" Target="https://pisrs.si/Prevodi/EN-2017-01-0366-2016-01-2806-npb1.doc" TargetMode="External"/><Relationship Id="rId328" Type="http://schemas.openxmlformats.org/officeDocument/2006/relationships/hyperlink" Target="https://www.researchgate.net/profile/Oivind-Strand/publication/234040004_FarmingTheWatersForPeopleAndFood/links/0fcfd50e7796a86845000000/FarmingTheWatersForPeopleAndFood.pdf" TargetMode="External"/><Relationship Id="rId535" Type="http://schemas.openxmlformats.org/officeDocument/2006/relationships/hyperlink" Target="https://www.oecd-ilibrary.org/docserver/dda2dfce-en-fr.pdf?expires=1714684906&amp;id=id&amp;accname=guest&amp;checksum=F9E18B0470BCBB1240457C7D3BA41C20" TargetMode="External"/><Relationship Id="rId742" Type="http://schemas.openxmlformats.org/officeDocument/2006/relationships/hyperlink" Target="https://unece.org/sites/default/files/2023-12/FFV-65_Certain_small_fruits_2023_e_0.pdf" TargetMode="External"/><Relationship Id="rId174" Type="http://schemas.openxmlformats.org/officeDocument/2006/relationships/hyperlink" Target="https://ec.europa.eu/agriculture/eambrosia/geographical-indications-register/" TargetMode="External"/><Relationship Id="rId381" Type="http://schemas.openxmlformats.org/officeDocument/2006/relationships/hyperlink" Target="https://www.fao.org/fao-who-codexalimentarius/sh-proxy/en/?lnk=1&amp;url=https%253A%252F%252Fworkspace.fao.org%252Fsites%252Fcodex%252FStandards%252FCXS%2B183-1993%252FCXS_183e.pdf" TargetMode="External"/><Relationship Id="rId602" Type="http://schemas.openxmlformats.org/officeDocument/2006/relationships/hyperlink" Target="https://read.oecd-ilibrary.org/agriculture-and-food/avocados_44a6e19b-en-fr-es" TargetMode="External"/><Relationship Id="rId241" Type="http://schemas.openxmlformats.org/officeDocument/2006/relationships/hyperlink" Target="https://ec.europa.eu/agriculture/eambrosia/geographical-indications-register/" TargetMode="External"/><Relationship Id="rId479" Type="http://schemas.openxmlformats.org/officeDocument/2006/relationships/hyperlink" Target="https://read.oecd-ilibrary.org/agriculture-and-food/inshell-hazelnuts-and-hazelnut-kernels_9789264166721-en-fr" TargetMode="External"/><Relationship Id="rId686" Type="http://schemas.openxmlformats.org/officeDocument/2006/relationships/hyperlink" Target="https://unece.org/sites/default/files/2024-03/FFV-57_Berry_fruits_2023_e.pdf" TargetMode="External"/><Relationship Id="rId893" Type="http://schemas.openxmlformats.org/officeDocument/2006/relationships/hyperlink" Target="https://eur-lex.europa.eu/legal-content/EN/TXT/?uri=CELEX%3A02011R0543-20221024&amp;qid=1681464333326" TargetMode="External"/><Relationship Id="rId907" Type="http://schemas.openxmlformats.org/officeDocument/2006/relationships/hyperlink" Target="https://eur-lex.europa.eu/legal-content/EN/TXT/?uri=CELEX%3A02011R0543-20221024&amp;qid=1681464333326" TargetMode="External"/><Relationship Id="rId36" Type="http://schemas.openxmlformats.org/officeDocument/2006/relationships/hyperlink" Target="https://narodne-novine.nn.hr/clanci/sluzbeni/2013_03_26_442.html" TargetMode="External"/><Relationship Id="rId339" Type="http://schemas.openxmlformats.org/officeDocument/2006/relationships/hyperlink" Target="https://www.ccpb.it/en/blog/certificazione/integrated-crop-management/" TargetMode="External"/><Relationship Id="rId546" Type="http://schemas.openxmlformats.org/officeDocument/2006/relationships/hyperlink" Target="https://read.oecd-ilibrary.org/agriculture-and-food/early-and-ware-potatoes_9789264068391-en-fr" TargetMode="External"/><Relationship Id="rId753" Type="http://schemas.openxmlformats.org/officeDocument/2006/relationships/hyperlink" Target="https://unece.org/sites/default/files/2024-03/FFV-54_Ceps_2023_e.pdf" TargetMode="External"/><Relationship Id="rId101" Type="http://schemas.openxmlformats.org/officeDocument/2006/relationships/hyperlink" Target="https://ec.europa.eu/agriculture/eambrosia/geographical-indications-register/" TargetMode="External"/><Relationship Id="rId185" Type="http://schemas.openxmlformats.org/officeDocument/2006/relationships/hyperlink" Target="https://ec.europa.eu/agriculture/eambrosia/geographical-indications-register/" TargetMode="External"/><Relationship Id="rId406" Type="http://schemas.openxmlformats.org/officeDocument/2006/relationships/hyperlink" Target="https://www.fao.org/fao-who-codexalimentarius/sh-proxy/en/?lnk=1&amp;url=https%253A%252F%252Fworkspace.fao.org%252Fsites%252Fcodex%252FStandards%252FCXS%2B348-2022%252FCXS_348e.pdf" TargetMode="External"/><Relationship Id="rId960" Type="http://schemas.openxmlformats.org/officeDocument/2006/relationships/hyperlink" Target="https://eur-lex.europa.eu/legal-content/EN/TXT/?uri=celex%3A32011R1169" TargetMode="External"/><Relationship Id="rId392" Type="http://schemas.openxmlformats.org/officeDocument/2006/relationships/hyperlink" Target="https://www.fao.org/fao-who-codexalimentarius/sh-proxy/en/?lnk=1&amp;url=https%253A%252F%252Fworkspace.fao.org%252Fsites%252Fcodex%252FStandards%252FCXS%2B226-2001%252FCXS_226e.pdf" TargetMode="External"/><Relationship Id="rId613" Type="http://schemas.openxmlformats.org/officeDocument/2006/relationships/hyperlink" Target="https://www.oecd.org/agriculture/fruit-vegetables/publications/brochures/oecd-explanatory-brochure-on-bananas-brochure-interpretative-ocde-pour-les-bananes.pdf" TargetMode="External"/><Relationship Id="rId697" Type="http://schemas.openxmlformats.org/officeDocument/2006/relationships/hyperlink" Target="https://unece.org/sites/default/files/2024-03/FFV-08_Brussels_sprouts_2023_e.pdf" TargetMode="External"/><Relationship Id="rId820" Type="http://schemas.openxmlformats.org/officeDocument/2006/relationships/hyperlink" Target="https://unece.org/sites/default/files/2023-12/FFV-39_Sweet_Chestnuts_2023_e.pdf" TargetMode="External"/><Relationship Id="rId918" Type="http://schemas.openxmlformats.org/officeDocument/2006/relationships/hyperlink" Target="https://eur-lex.europa.eu/legal-content/EN/TXT/?uri=CELEX%3A02011R0543-20221024&amp;qid=1681464333326" TargetMode="External"/><Relationship Id="rId252" Type="http://schemas.openxmlformats.org/officeDocument/2006/relationships/hyperlink" Target="https://ec.europa.eu/agriculture/eambrosia/geographical-indications-register/" TargetMode="External"/><Relationship Id="rId47" Type="http://schemas.openxmlformats.org/officeDocument/2006/relationships/hyperlink" Target="https://www.irishstatutebook.ie/eli/2010/si/340/made/en/print" TargetMode="External"/><Relationship Id="rId112" Type="http://schemas.openxmlformats.org/officeDocument/2006/relationships/hyperlink" Target="https://ec.europa.eu/agriculture/eambrosia/geographical-indications-register/" TargetMode="External"/><Relationship Id="rId557" Type="http://schemas.openxmlformats.org/officeDocument/2006/relationships/hyperlink" Target="https://www.oecd-ilibrary.org/docserver/860574df-en-fr.pdf?expires=1714685131&amp;id=id&amp;accname=guest&amp;checksum=CD4C1445CF68EB45B9C0F10461F10A2D" TargetMode="External"/><Relationship Id="rId764" Type="http://schemas.openxmlformats.org/officeDocument/2006/relationships/hyperlink" Target="https://unece.org/sites/default/files/2024-03/FFV-41_Courgettes_2023_e.pdf" TargetMode="External"/><Relationship Id="rId196" Type="http://schemas.openxmlformats.org/officeDocument/2006/relationships/hyperlink" Target="https://ec.europa.eu/agriculture/eambrosia/geographical-indications-register/" TargetMode="External"/><Relationship Id="rId417" Type="http://schemas.openxmlformats.org/officeDocument/2006/relationships/hyperlink" Target="https://www.fao.org/fao-who-codexalimentarius/sh-proxy/en/?lnk=1&amp;url=https%253A%252F%252Fworkspace.fao.org%252Fsites%252Fcodex%252FStandards%252FCXS%2B170-1989%252FCXS_170e.pdf" TargetMode="External"/><Relationship Id="rId624" Type="http://schemas.openxmlformats.org/officeDocument/2006/relationships/hyperlink" Target="https://read.oecd-ilibrary.org/agriculture-and-food/beans_0bc40eec-en-fr" TargetMode="External"/><Relationship Id="rId831" Type="http://schemas.openxmlformats.org/officeDocument/2006/relationships/hyperlink" Target="https://unece.org/sites/default/files/2024-03/FFV-53_Truffles_2023_e.pdf" TargetMode="External"/><Relationship Id="rId263" Type="http://schemas.openxmlformats.org/officeDocument/2006/relationships/hyperlink" Target="https://ec.europa.eu/agriculture/eambrosia/geographical-indications-register/" TargetMode="External"/><Relationship Id="rId470" Type="http://schemas.openxmlformats.org/officeDocument/2006/relationships/hyperlink" Target="https://www.oecd-ilibrary.org/docserver/9789264272941-en-fr.pdf?expires=1714684325&amp;id=id&amp;accname=guest&amp;checksum=51E7DB1330BBA930286B91FBC4337913" TargetMode="External"/><Relationship Id="rId929" Type="http://schemas.openxmlformats.org/officeDocument/2006/relationships/hyperlink" Target="https://eur-lex.europa.eu/legal-content/EN/TXT/?uri=CELEX%3A02011R0543-20221024&amp;qid=1681464333326" TargetMode="External"/><Relationship Id="rId58" Type="http://schemas.openxmlformats.org/officeDocument/2006/relationships/hyperlink" Target="https://www.gov.pl/web/rolnictwo/quality-meat-program-qmp" TargetMode="External"/><Relationship Id="rId123" Type="http://schemas.openxmlformats.org/officeDocument/2006/relationships/hyperlink" Target="https://ec.europa.eu/agriculture/eambrosia/geographical-indications-register/" TargetMode="External"/><Relationship Id="rId330" Type="http://schemas.openxmlformats.org/officeDocument/2006/relationships/hyperlink" Target="https://pisciculteurs-de-france.fr/une-filiere-davenir/engagements-charte-qualite/" TargetMode="External"/><Relationship Id="rId568" Type="http://schemas.openxmlformats.org/officeDocument/2006/relationships/hyperlink" Target="https://read.oecd-ilibrary.org/agriculture-and-food/shallots_9789264213265-en-fr" TargetMode="External"/><Relationship Id="rId775" Type="http://schemas.openxmlformats.org/officeDocument/2006/relationships/hyperlink" Target="https://unece.org/sites/default/files/2024-03/FFV-16_Fennel_2023_e.pdf" TargetMode="External"/><Relationship Id="rId428" Type="http://schemas.openxmlformats.org/officeDocument/2006/relationships/hyperlink" Target="https://www.fao.org/fao-who-codexalimentarius/sh-proxy/en/?lnk=1&amp;url=https%253A%252F%252Fworkspace.fao.org%252Fsites%252Fcodex%252FStandards%252FCXS%2B244-2004%252FCXS_244e.pdf" TargetMode="External"/><Relationship Id="rId635" Type="http://schemas.openxmlformats.org/officeDocument/2006/relationships/hyperlink" Target="https://read.oecd-ilibrary.org/agriculture-and-food/carrots_9789264081871-en-fr" TargetMode="External"/><Relationship Id="rId842" Type="http://schemas.openxmlformats.org/officeDocument/2006/relationships/hyperlink" Target="https://unece.org/sites/default/files/2024-03/FFV-40_Rhubarb_2023_e.pdf" TargetMode="External"/><Relationship Id="rId274" Type="http://schemas.openxmlformats.org/officeDocument/2006/relationships/hyperlink" Target="https://ec.europa.eu/agriculture/eambrosia/geographical-indications-register/" TargetMode="External"/><Relationship Id="rId481" Type="http://schemas.openxmlformats.org/officeDocument/2006/relationships/hyperlink" Target="https://read.oecd-ilibrary.org/agriculture-and-food/inshell-hazelnuts-and-hazelnut-kernels_9789264166721-en-fr" TargetMode="External"/><Relationship Id="rId702" Type="http://schemas.openxmlformats.org/officeDocument/2006/relationships/hyperlink" Target="https://unece.org/sites/default/files/2024-03/FFV-09_Headed_cabbages_2023_e.pdf" TargetMode="External"/><Relationship Id="rId69" Type="http://schemas.openxmlformats.org/officeDocument/2006/relationships/hyperlink" Target="https://ec.europa.eu/agriculture/eambrosia/geographical-indications-register/" TargetMode="External"/><Relationship Id="rId134" Type="http://schemas.openxmlformats.org/officeDocument/2006/relationships/hyperlink" Target="https://ec.europa.eu/agriculture/eambrosia/geographical-indications-register/" TargetMode="External"/><Relationship Id="rId579" Type="http://schemas.openxmlformats.org/officeDocument/2006/relationships/hyperlink" Target="https://www.oecd.org/agriculture/fruit-vegetables/publications/brochures/apricots-9789264084902-en-fr.htm" TargetMode="External"/><Relationship Id="rId786" Type="http://schemas.openxmlformats.org/officeDocument/2006/relationships/hyperlink" Target="https://unece.org/sites/default/files/2023-12/FFV-27_Peas_2023_e.pdf" TargetMode="External"/><Relationship Id="rId341" Type="http://schemas.openxmlformats.org/officeDocument/2006/relationships/hyperlink" Target="https://www.gov.pl/web/rolnictwo/system-gwarantowanej-jakosci-ywnosci-qafp" TargetMode="External"/><Relationship Id="rId439" Type="http://schemas.openxmlformats.org/officeDocument/2006/relationships/hyperlink" Target="https://www.fao.org/fao-who-codexalimentarius/sh-proxy/en/?lnk=1&amp;url=https%253A%252F%252Fworkspace.fao.org%252Fsites%252Fcodex%252FStandards%252FCXS%2B115-1981%252FCXS_115e.pdf" TargetMode="External"/><Relationship Id="rId646" Type="http://schemas.openxmlformats.org/officeDocument/2006/relationships/hyperlink" Target="https://read.oecd-ilibrary.org/agriculture-and-food/chinese-cabbage_9789264248694-en-fr" TargetMode="External"/><Relationship Id="rId201" Type="http://schemas.openxmlformats.org/officeDocument/2006/relationships/hyperlink" Target="https://ec.europa.eu/agriculture/eambrosia/geographical-indications-register/" TargetMode="External"/><Relationship Id="rId285" Type="http://schemas.openxmlformats.org/officeDocument/2006/relationships/hyperlink" Target="https://bds-bg.org/bg/project/list?keywords=%D0%9F%D0%BB%D0%BE%D0%B4%D0%BE%D0%B2%D0%B5&amp;status%5B0%5D=IN_DEVELOPMENT&amp;status%5B1%5D=PUBLISHED&amp;operatorCommittee=1&amp;operatorStdType=3&amp;listMode=DEFAULT" TargetMode="External"/><Relationship Id="rId506" Type="http://schemas.openxmlformats.org/officeDocument/2006/relationships/hyperlink" Target="https://read.oecd-ilibrary.org/agriculture-and-food/melons_9789264213289-en-fr" TargetMode="External"/><Relationship Id="rId853" Type="http://schemas.openxmlformats.org/officeDocument/2006/relationships/hyperlink" Target="https://unece.org/sites/default/files/2024-03/FFV-23_Melons_2023_e.pdf" TargetMode="External"/><Relationship Id="rId492" Type="http://schemas.openxmlformats.org/officeDocument/2006/relationships/hyperlink" Target="https://www.oecd-ilibrary.org/docserver/dbf45fde-en-fr.pdf?expires=1714684486&amp;id=id&amp;accname=guest&amp;checksum=8EBA4104DBC1C842B5F0A1AF67690B23" TargetMode="External"/><Relationship Id="rId713" Type="http://schemas.openxmlformats.org/officeDocument/2006/relationships/hyperlink" Target="https://unece.org/sites/default/files/2024-03/FFV-03_Artichokes_2023_e.pdf" TargetMode="External"/><Relationship Id="rId797" Type="http://schemas.openxmlformats.org/officeDocument/2006/relationships/hyperlink" Target="https://unece.org/sites/default/files/2024-03/FFV-63_Persimmons_2023_e.pdf" TargetMode="External"/><Relationship Id="rId920" Type="http://schemas.openxmlformats.org/officeDocument/2006/relationships/hyperlink" Target="https://eur-lex.europa.eu/legal-content/EN/TXT/?uri=CELEX%3A02011R0543-20221024&amp;qid=1681464333326" TargetMode="External"/><Relationship Id="rId145" Type="http://schemas.openxmlformats.org/officeDocument/2006/relationships/hyperlink" Target="https://ec.europa.eu/agriculture/eambrosia/geographical-indications-register/" TargetMode="External"/><Relationship Id="rId352" Type="http://schemas.openxmlformats.org/officeDocument/2006/relationships/hyperlink" Target="https://www.globalgap.org/" TargetMode="External"/><Relationship Id="rId212" Type="http://schemas.openxmlformats.org/officeDocument/2006/relationships/hyperlink" Target="https://ec.europa.eu/agriculture/eambrosia/geographical-indications-register/" TargetMode="External"/><Relationship Id="rId657" Type="http://schemas.openxmlformats.org/officeDocument/2006/relationships/hyperlink" Target="https://read.oecd-ilibrary.org/agriculture-and-food/chicory_cf4b9857-en-fr" TargetMode="External"/><Relationship Id="rId864" Type="http://schemas.openxmlformats.org/officeDocument/2006/relationships/hyperlink" Target="https://unece.org/sites/default/files/2024-03/FFV-60_Lambs_lettuce_2023_e.pdf" TargetMode="External"/><Relationship Id="rId296" Type="http://schemas.openxmlformats.org/officeDocument/2006/relationships/hyperlink" Target="https://citeseerx.ist.psu.edu/document?repid=rep1&amp;type=pdf&amp;doi=2cc019a95a577cf5278e06ffa7cd3444164cf51e" TargetMode="External"/><Relationship Id="rId517" Type="http://schemas.openxmlformats.org/officeDocument/2006/relationships/hyperlink" Target="https://read.oecd-ilibrary.org/agriculture-and-food/onions_9789264175082-en-fr" TargetMode="External"/><Relationship Id="rId724" Type="http://schemas.openxmlformats.org/officeDocument/2006/relationships/hyperlink" Target="https://unece.org/sites/default/files/2023-12/FFV11_Cauliflowers_2023_e.pdf" TargetMode="External"/><Relationship Id="rId931" Type="http://schemas.openxmlformats.org/officeDocument/2006/relationships/hyperlink" Target="https://eur-lex.europa.eu/legal-content/EN/TXT/?uri=CELEX%3A02011R0543-20221024&amp;qid=1681464333326" TargetMode="External"/><Relationship Id="rId60" Type="http://schemas.openxmlformats.org/officeDocument/2006/relationships/hyperlink" Target="https://legislation.mt/eli/sl/449.41/eng" TargetMode="External"/><Relationship Id="rId156" Type="http://schemas.openxmlformats.org/officeDocument/2006/relationships/hyperlink" Target="https://ec.europa.eu/agriculture/eambrosia/geographical-indications-register/" TargetMode="External"/><Relationship Id="rId363" Type="http://schemas.openxmlformats.org/officeDocument/2006/relationships/hyperlink" Target="https://www.efisc-gtp.eu/" TargetMode="External"/><Relationship Id="rId570" Type="http://schemas.openxmlformats.org/officeDocument/2006/relationships/hyperlink" Target="https://read.oecd-ilibrary.org/agriculture-and-food/watermelons_9789264178960-en-fr" TargetMode="External"/><Relationship Id="rId223" Type="http://schemas.openxmlformats.org/officeDocument/2006/relationships/hyperlink" Target="https://ec.europa.eu/agriculture/eambrosia/geographical-indications-register/" TargetMode="External"/><Relationship Id="rId430" Type="http://schemas.openxmlformats.org/officeDocument/2006/relationships/hyperlink" Target="https://www.fao.org/fao-who-codexalimentarius/sh-proxy/en/?lnk=1&amp;url=https%253A%252F%252Fworkspace.fao.org%252Fsites%252Fcodex%252FStandards%252FCXS%2B1-1985%252FCXS_001e.pdf" TargetMode="External"/><Relationship Id="rId668" Type="http://schemas.openxmlformats.org/officeDocument/2006/relationships/hyperlink" Target="https://read.oecd-ilibrary.org/agriculture-and-food/cucumbers_9789264045262-en-fr" TargetMode="External"/><Relationship Id="rId875" Type="http://schemas.openxmlformats.org/officeDocument/2006/relationships/hyperlink" Target="https://eur-lex.europa.eu/legal-content/EN/TXT/?uri=CELEX%3A32009R0043" TargetMode="External"/><Relationship Id="rId18" Type="http://schemas.openxmlformats.org/officeDocument/2006/relationships/hyperlink" Target="https://www.ble.de/DE/Themen/Ernaehrung-Lebensmittel/Rindfleischetikettierung/rindfleischetikettierung_node.html;jsessionid=68F0D8695D61C5814CEC74FCF70781BA.internet971" TargetMode="External"/><Relationship Id="rId528" Type="http://schemas.openxmlformats.org/officeDocument/2006/relationships/hyperlink" Target="https://www.oecd.org/agriculture/fruit-vegetables/publications/brochures/Brochure%20Passion%20Fruit%202023%20interactif%20%20%20Fiches%20V2.pdf" TargetMode="External"/><Relationship Id="rId735" Type="http://schemas.openxmlformats.org/officeDocument/2006/relationships/hyperlink" Target="https://unece.org/sites/default/files/2024-03/FFV-55_Chanterelles_2023_e.pdf" TargetMode="External"/><Relationship Id="rId942" Type="http://schemas.openxmlformats.org/officeDocument/2006/relationships/hyperlink" Target="https://eur-lex.europa.eu/legal-content/EN/TXT/?uri=CELEX%3A02011R0543-20221024&amp;qid=1681464333326" TargetMode="External"/><Relationship Id="rId167" Type="http://schemas.openxmlformats.org/officeDocument/2006/relationships/hyperlink" Target="https://ec.europa.eu/agriculture/eambrosia/geographical-indications-register/" TargetMode="External"/><Relationship Id="rId374" Type="http://schemas.openxmlformats.org/officeDocument/2006/relationships/hyperlink" Target="https://www.researchgate.net/profile/Oivind-Strand/publication/234040004_FarmingTheWatersForPeopleAndFood/links/0fcfd50e7796a86845000000/FarmingTheWatersForPeopleAndFood.pdf" TargetMode="External"/><Relationship Id="rId581" Type="http://schemas.openxmlformats.org/officeDocument/2006/relationships/hyperlink" Target="https://www.oecd.org/agriculture/fruit-vegetables/publications/brochures/apricots-9789264084902-en-fr.htm" TargetMode="External"/><Relationship Id="rId71" Type="http://schemas.openxmlformats.org/officeDocument/2006/relationships/hyperlink" Target="https://ec.europa.eu/agriculture/eambrosia/geographical-indications-register/" TargetMode="External"/><Relationship Id="rId234" Type="http://schemas.openxmlformats.org/officeDocument/2006/relationships/hyperlink" Target="https://ec.europa.eu/agriculture/eambrosia/geographical-indications-register/" TargetMode="External"/><Relationship Id="rId679" Type="http://schemas.openxmlformats.org/officeDocument/2006/relationships/hyperlink" Target="https://read.oecd-ilibrary.org/agriculture-and-food/cultivated-mushrooms_9789264013261-en-fr" TargetMode="External"/><Relationship Id="rId802" Type="http://schemas.openxmlformats.org/officeDocument/2006/relationships/hyperlink" Target="https://unece.org/sites/default/files/2024-03/FFV-62_Quince_2023_e.pdf" TargetMode="External"/><Relationship Id="rId886" Type="http://schemas.openxmlformats.org/officeDocument/2006/relationships/hyperlink" Target="https://eur-lex.europa.eu/legal-content/EN/TXT/?uri=CELEX%3A02011R0543-20221024&amp;qid=1681464333326" TargetMode="External"/><Relationship Id="rId2" Type="http://schemas.openxmlformats.org/officeDocument/2006/relationships/hyperlink" Target="https://bds-bg.org/bg/project/show/bds:proj:15379" TargetMode="External"/><Relationship Id="rId29" Type="http://schemas.openxmlformats.org/officeDocument/2006/relationships/hyperlink" Target="https://pisrs.si/pregledPredpisa?id=PRAV11666" TargetMode="External"/><Relationship Id="rId441" Type="http://schemas.openxmlformats.org/officeDocument/2006/relationships/hyperlink" Target="https://www.fao.org/fao-who-codexalimentarius/sh-proxy/en/?lnk=1&amp;url=https%253A%252F%252Fworkspace.fao.org%252Fsites%252Fcodex%252FStandards%252FCXS%2B254-2007%252FCXS_254e.pdf" TargetMode="External"/><Relationship Id="rId539" Type="http://schemas.openxmlformats.org/officeDocument/2006/relationships/hyperlink" Target="https://read.oecd-ilibrary.org/agriculture-and-food/pomegranate_9789264206700-en-fr" TargetMode="External"/><Relationship Id="rId746" Type="http://schemas.openxmlformats.org/officeDocument/2006/relationships/hyperlink" Target="https://unece.org/sites/default/files/2023-12/FFV-65_Certain_small_fruits_2023_e_0.pdf" TargetMode="External"/><Relationship Id="rId178" Type="http://schemas.openxmlformats.org/officeDocument/2006/relationships/hyperlink" Target="https://ec.europa.eu/agriculture/eambrosia/geographical-indications-register/" TargetMode="External"/><Relationship Id="rId301" Type="http://schemas.openxmlformats.org/officeDocument/2006/relationships/hyperlink" Target="https://www.belbeef.be/de-belbeef-standaard" TargetMode="External"/><Relationship Id="rId953" Type="http://schemas.openxmlformats.org/officeDocument/2006/relationships/hyperlink" Target="https://eur-lex.europa.eu/eli/dir/2006/125/oj" TargetMode="External"/><Relationship Id="rId82" Type="http://schemas.openxmlformats.org/officeDocument/2006/relationships/hyperlink" Target="https://ec.europa.eu/agriculture/eambrosia/geographical-indications-register/" TargetMode="External"/><Relationship Id="rId385" Type="http://schemas.openxmlformats.org/officeDocument/2006/relationships/hyperlink" Target="https://www.fao.org/fao-who-codexalimentarius/sh-proxy/en/?lnk=1&amp;url=https%253A%252F%252Fworkspace.fao.org%252Fsites%252Fcodex%252FStandards%252FCXS%2B196-1995%252FCXS_196e.pdf" TargetMode="External"/><Relationship Id="rId592" Type="http://schemas.openxmlformats.org/officeDocument/2006/relationships/hyperlink" Target="https://read.oecd-ilibrary.org/agriculture-and-food/international-standards-for-fruit-and-vegetables_9789264116351-en-fr" TargetMode="External"/><Relationship Id="rId606" Type="http://schemas.openxmlformats.org/officeDocument/2006/relationships/hyperlink" Target="https://www.oecd.org/agriculture/fruit-vegetables/publications/brochures/oecd-explanatory-brochure-on-bananas-brochure-interpretative-ocde-pour-les-bananes.pdf" TargetMode="External"/><Relationship Id="rId813" Type="http://schemas.openxmlformats.org/officeDocument/2006/relationships/hyperlink" Target="https://unece.org/sites/default/files/2024-03/FFV-12_Ribbed_celery_2023_e.pdf" TargetMode="External"/><Relationship Id="rId245" Type="http://schemas.openxmlformats.org/officeDocument/2006/relationships/hyperlink" Target="https://ec.europa.eu/agriculture/eambrosia/geographical-indications-register/" TargetMode="External"/><Relationship Id="rId452" Type="http://schemas.openxmlformats.org/officeDocument/2006/relationships/hyperlink" Target="https://www.fao.org/fao-who-codexalimentarius/sh-proxy/en/?lnk=1&amp;url=https%253A%252F%252Fworkspace.fao.org%252Fsites%252Fcodex%252FStandards%252FCXS%2B75-1981%252FCXS_075e.pdf" TargetMode="External"/><Relationship Id="rId897" Type="http://schemas.openxmlformats.org/officeDocument/2006/relationships/hyperlink" Target="https://eur-lex.europa.eu/legal-content/EN/TXT/?uri=CELEX%3A02011R0543-20221024&amp;qid=1681464333326" TargetMode="External"/><Relationship Id="rId105" Type="http://schemas.openxmlformats.org/officeDocument/2006/relationships/hyperlink" Target="https://ec.europa.eu/agriculture/eambrosia/geographical-indications-register/" TargetMode="External"/><Relationship Id="rId312" Type="http://schemas.openxmlformats.org/officeDocument/2006/relationships/hyperlink" Target="https://www.biocoherence.fr/" TargetMode="External"/><Relationship Id="rId757" Type="http://schemas.openxmlformats.org/officeDocument/2006/relationships/hyperlink" Target="https://unece.org/sites/default/files/2024-03/FFV-61_Chilli_peppers_2023_e.pdf" TargetMode="External"/><Relationship Id="rId964" Type="http://schemas.openxmlformats.org/officeDocument/2006/relationships/hyperlink" Target="https://eur-lex.europa.eu/legal-content/EN/ALL/?uri=celex%3A32004R1935" TargetMode="External"/><Relationship Id="rId93" Type="http://schemas.openxmlformats.org/officeDocument/2006/relationships/hyperlink" Target="https://ec.europa.eu/agriculture/eambrosia/geographical-indications-register/" TargetMode="External"/><Relationship Id="rId189" Type="http://schemas.openxmlformats.org/officeDocument/2006/relationships/hyperlink" Target="https://ec.europa.eu/agriculture/eambrosia/geographical-indications-register/" TargetMode="External"/><Relationship Id="rId396" Type="http://schemas.openxmlformats.org/officeDocument/2006/relationships/hyperlink" Target="https://www.fao.org/fao-who-codexalimentarius/sh-proxy/en/?lnk=1&amp;url=https%253A%252F%252Fworkspace.fao.org%252Fsites%252Fcodex%252FStandards%252FCXS%2B293-2008%252FCXS_293e.pdf" TargetMode="External"/><Relationship Id="rId617" Type="http://schemas.openxmlformats.org/officeDocument/2006/relationships/hyperlink" Target="https://www.oecd.org/agriculture/fruit-vegetables/publications/brochures/oecd-explanatory-brochure-on-bananas-brochure-interpretative-ocde-pour-les-bananes.pdf" TargetMode="External"/><Relationship Id="rId824" Type="http://schemas.openxmlformats.org/officeDocument/2006/relationships/hyperlink" Target="https://unece.org/sites/default/files/2024-03/FFV-53_Truffles_2023_e.pdf" TargetMode="External"/><Relationship Id="rId256" Type="http://schemas.openxmlformats.org/officeDocument/2006/relationships/hyperlink" Target="https://ec.europa.eu/agriculture/eambrosia/geographical-indications-register/" TargetMode="External"/><Relationship Id="rId463" Type="http://schemas.openxmlformats.org/officeDocument/2006/relationships/hyperlink" Target="https://read.oecd-ilibrary.org/agriculture-and-food/fresh-figs_9789264234086-en-fr" TargetMode="External"/><Relationship Id="rId670" Type="http://schemas.openxmlformats.org/officeDocument/2006/relationships/hyperlink" Target="https://read.oecd-ilibrary.org/agriculture-and-food/cucumbers_9789264045262-en-fr" TargetMode="External"/><Relationship Id="rId116" Type="http://schemas.openxmlformats.org/officeDocument/2006/relationships/hyperlink" Target="https://ec.europa.eu/agriculture/eambrosia/geographical-indications-register/" TargetMode="External"/><Relationship Id="rId323" Type="http://schemas.openxmlformats.org/officeDocument/2006/relationships/hyperlink" Target="https://biogarantie.be/nl/" TargetMode="External"/><Relationship Id="rId530" Type="http://schemas.openxmlformats.org/officeDocument/2006/relationships/hyperlink" Target="https://www.oecd-ilibrary.org/docserver/dda2dfce-en-fr.pdf?expires=1714684906&amp;id=id&amp;accname=guest&amp;checksum=F9E18B0470BCBB1240457C7D3BA41C20" TargetMode="External"/><Relationship Id="rId768" Type="http://schemas.openxmlformats.org/officeDocument/2006/relationships/hyperlink" Target="https://unece.org/sites/default/files/2024-03/FFV-41_Courgettes_2023_e.pdf" TargetMode="External"/><Relationship Id="rId20" Type="http://schemas.openxmlformats.org/officeDocument/2006/relationships/hyperlink" Target="https://www.ble.de/DE/Themen/Ernaehrung-Lebensmittel/Tierhaltungskennzeichnung/Tierhaltungskennzeichnung_node.html;jsessionid=79F0C4BDB5F035341A962C6C67CDAC90.internet972" TargetMode="External"/><Relationship Id="rId628" Type="http://schemas.openxmlformats.org/officeDocument/2006/relationships/hyperlink" Target="https://read.oecd-ilibrary.org/agriculture-and-food/broccoli_9789264188822-en-fr" TargetMode="External"/><Relationship Id="rId835" Type="http://schemas.openxmlformats.org/officeDocument/2006/relationships/hyperlink" Target="https://unece.org/sites/default/files/2024-03/FFV-49_Pineapples_2023_e.pdf" TargetMode="External"/><Relationship Id="rId267" Type="http://schemas.openxmlformats.org/officeDocument/2006/relationships/hyperlink" Target="https://ec.europa.eu/agriculture/eambrosia/geographical-indications-register/" TargetMode="External"/><Relationship Id="rId474" Type="http://schemas.openxmlformats.org/officeDocument/2006/relationships/hyperlink" Target="https://www.oecd-ilibrary.org/docserver/9789264272941-en-fr.pdf?expires=1714684325&amp;id=id&amp;accname=guest&amp;checksum=51E7DB1330BBA930286B91FBC4337913" TargetMode="External"/><Relationship Id="rId127" Type="http://schemas.openxmlformats.org/officeDocument/2006/relationships/hyperlink" Target="https://ec.europa.eu/agriculture/eambrosia/geographical-indications-register/" TargetMode="External"/><Relationship Id="rId681" Type="http://schemas.openxmlformats.org/officeDocument/2006/relationships/hyperlink" Target="https://read.oecd-ilibrary.org/agriculture-and-food/cultivated-mushrooms_9789264013261-en-fr" TargetMode="External"/><Relationship Id="rId779" Type="http://schemas.openxmlformats.org/officeDocument/2006/relationships/hyperlink" Target="https://unece.org/sites/default/files/2023-12/FFV-58_Leafy_vegetables_2023_e.pdf" TargetMode="External"/><Relationship Id="rId902" Type="http://schemas.openxmlformats.org/officeDocument/2006/relationships/hyperlink" Target="https://eur-lex.europa.eu/legal-content/EN/TXT/?uri=CELEX%3A02011R0543-20221024&amp;qid=1681464333326" TargetMode="External"/><Relationship Id="rId31" Type="http://schemas.openxmlformats.org/officeDocument/2006/relationships/hyperlink" Target="https://pisrs.si/pregledPredpisa?id=PRAV5620" TargetMode="External"/><Relationship Id="rId334" Type="http://schemas.openxmlformats.org/officeDocument/2006/relationships/hyperlink" Target="https://www.csqa.it/it-it/certificazioni/agroalimentare/non-ogm-dtp-030-rt-11" TargetMode="External"/><Relationship Id="rId541" Type="http://schemas.openxmlformats.org/officeDocument/2006/relationships/hyperlink" Target="https://read.oecd-ilibrary.org/agriculture-and-food/pomegranate_9789264206700-en-fr" TargetMode="External"/><Relationship Id="rId639" Type="http://schemas.openxmlformats.org/officeDocument/2006/relationships/hyperlink" Target="https://read.oecd-ilibrary.org/agriculture-and-food/carrots_9789264081871-en-fr" TargetMode="External"/><Relationship Id="rId180" Type="http://schemas.openxmlformats.org/officeDocument/2006/relationships/hyperlink" Target="https://ec.europa.eu/agriculture/eambrosia/geographical-indications-register/" TargetMode="External"/><Relationship Id="rId278" Type="http://schemas.openxmlformats.org/officeDocument/2006/relationships/hyperlink" Target="https://info.agriculture.gouv.fr/gedei/site/bo-agri/document_administratif-29729369-815c-4bb5-b82d-7704406cc9dc/telechargement" TargetMode="External"/><Relationship Id="rId401" Type="http://schemas.openxmlformats.org/officeDocument/2006/relationships/hyperlink" Target="https://www.fao.org/fao-who-codexalimentarius/sh-proxy/en/?lnk=1&amp;url=https%253A%252F%252Fworkspace.fao.org%252Fsites%252Fcodex%252FStandards%252FCXS%2B316-2014%252FCXS_316e_2014.pdf" TargetMode="External"/><Relationship Id="rId846" Type="http://schemas.openxmlformats.org/officeDocument/2006/relationships/hyperlink" Target="https://unece.org/sites/default/files/2024-03/FFV-40_Rhubarb_2023_e.pdf" TargetMode="External"/><Relationship Id="rId485" Type="http://schemas.openxmlformats.org/officeDocument/2006/relationships/hyperlink" Target="https://read.oecd-ilibrary.org/agriculture-and-food/inshell-hazelnuts-and-hazelnut-kernels_9789264166721-en-fr" TargetMode="External"/><Relationship Id="rId692" Type="http://schemas.openxmlformats.org/officeDocument/2006/relationships/hyperlink" Target="https://unece.org/sites/default/files/2024-03/FFV-08_Brussels_sprouts_2023_e.pdf" TargetMode="External"/><Relationship Id="rId706" Type="http://schemas.openxmlformats.org/officeDocument/2006/relationships/hyperlink" Target="https://unece.org/sites/default/files/2024-03/FFV-09_Headed_cabbages_2023_e.pdf" TargetMode="External"/><Relationship Id="rId913" Type="http://schemas.openxmlformats.org/officeDocument/2006/relationships/hyperlink" Target="https://eur-lex.europa.eu/legal-content/EN/TXT/?uri=CELEX%3A02011R0543-20221024&amp;qid=1681464333326" TargetMode="External"/><Relationship Id="rId42" Type="http://schemas.openxmlformats.org/officeDocument/2006/relationships/hyperlink" Target="https://narodne-novine.nn.hr/clanci/sluzbeni/2022_09_101_1495.html" TargetMode="External"/><Relationship Id="rId138" Type="http://schemas.openxmlformats.org/officeDocument/2006/relationships/hyperlink" Target="https://ec.europa.eu/agriculture/eambrosia/geographical-indications-register/" TargetMode="External"/><Relationship Id="rId345" Type="http://schemas.openxmlformats.org/officeDocument/2006/relationships/hyperlink" Target="https://www.msc.org/standards-and-certification/fisheries-standard" TargetMode="External"/><Relationship Id="rId552" Type="http://schemas.openxmlformats.org/officeDocument/2006/relationships/hyperlink" Target="https://read.oecd-ilibrary.org/agriculture-and-food/early-and-ware-potatoes_9789264068391-en-fr" TargetMode="External"/><Relationship Id="rId191" Type="http://schemas.openxmlformats.org/officeDocument/2006/relationships/hyperlink" Target="https://ec.europa.eu/agriculture/eambrosia/geographical-indications-register/" TargetMode="External"/><Relationship Id="rId205" Type="http://schemas.openxmlformats.org/officeDocument/2006/relationships/hyperlink" Target="https://ec.europa.eu/agriculture/eambrosia/geographical-indications-register/" TargetMode="External"/><Relationship Id="rId412" Type="http://schemas.openxmlformats.org/officeDocument/2006/relationships/hyperlink" Target="https://www.fao.org/fao-who-codexalimentarius/sh-proxy/en/?lnk=1&amp;url=https%253A%252F%252Fworkspace.fao.org%252Fsites%252Fcodex%252FStandards%252FCXS%2B152-1985%252FCXS_152e.pdf" TargetMode="External"/><Relationship Id="rId857" Type="http://schemas.openxmlformats.org/officeDocument/2006/relationships/hyperlink" Target="https://unece.org/sites/default/files/2024-03/FFV-23_Melons_2023_e.pdf" TargetMode="External"/><Relationship Id="rId289" Type="http://schemas.openxmlformats.org/officeDocument/2006/relationships/hyperlink" Target="https://unece.org/sites/default/files/2023-07/36_Tomatoes_e.pdf" TargetMode="External"/><Relationship Id="rId496" Type="http://schemas.openxmlformats.org/officeDocument/2006/relationships/hyperlink" Target="https://www.oecd-ilibrary.org/docserver/f9210db0-en-fr.pdf?expires=1714684643&amp;id=id&amp;accname=guest&amp;checksum=FF14B51CAE784302E24CB710A213E6FB" TargetMode="External"/><Relationship Id="rId717" Type="http://schemas.openxmlformats.org/officeDocument/2006/relationships/hyperlink" Target="https://unece.org/sites/default/files/2024-03/FFV-47_Annonas_2023_e.pdf" TargetMode="External"/><Relationship Id="rId924" Type="http://schemas.openxmlformats.org/officeDocument/2006/relationships/hyperlink" Target="https://eur-lex.europa.eu/legal-content/EN/TXT/?uri=CELEX%3A02011R0543-20221024&amp;qid=1681464333326" TargetMode="External"/><Relationship Id="rId53" Type="http://schemas.openxmlformats.org/officeDocument/2006/relationships/hyperlink" Target="https://www.politicheagricole.it/flex/cm/pages/ServeBLOB.php/L/IT/IDPagina/12217" TargetMode="External"/><Relationship Id="rId149" Type="http://schemas.openxmlformats.org/officeDocument/2006/relationships/hyperlink" Target="https://ec.europa.eu/agriculture/eambrosia/geographical-indications-register/" TargetMode="External"/><Relationship Id="rId356" Type="http://schemas.openxmlformats.org/officeDocument/2006/relationships/hyperlink" Target="https://www.globalgap.org/what-we-offer/solutions/biodiversity/" TargetMode="External"/><Relationship Id="rId563" Type="http://schemas.openxmlformats.org/officeDocument/2006/relationships/hyperlink" Target="https://read.oecd-ilibrary.org/agriculture-and-food/shallots_9789264213265-en-fr" TargetMode="External"/><Relationship Id="rId770" Type="http://schemas.openxmlformats.org/officeDocument/2006/relationships/hyperlink" Target="https://unece.org/sites/default/files/2024-03/FFV-41_Courgettes_2023_e.pdf" TargetMode="External"/><Relationship Id="rId216" Type="http://schemas.openxmlformats.org/officeDocument/2006/relationships/hyperlink" Target="https://ec.europa.eu/agriculture/eambrosia/geographical-indications-register/" TargetMode="External"/><Relationship Id="rId423" Type="http://schemas.openxmlformats.org/officeDocument/2006/relationships/hyperlink" Target="https://www.fao.org/fao-who-codexalimentarius/sh-proxy/en/?lnk=1&amp;url=https%253A%252F%252Fworkspace.fao.org%252Fsites%252Fcodex%252FStandards%252FCXS%2B199-1995%252FCXS_199e.pdf" TargetMode="External"/><Relationship Id="rId868" Type="http://schemas.openxmlformats.org/officeDocument/2006/relationships/hyperlink" Target="https://eur-lex.europa.eu/LexUriServ/LexUriServ.do?uri=OJ:L:2013:347:0671:0854:EN:PDF" TargetMode="External"/><Relationship Id="rId630" Type="http://schemas.openxmlformats.org/officeDocument/2006/relationships/hyperlink" Target="https://read.oecd-ilibrary.org/agriculture-and-food/broccoli_9789264188822-en-fr" TargetMode="External"/><Relationship Id="rId728" Type="http://schemas.openxmlformats.org/officeDocument/2006/relationships/hyperlink" Target="https://unece.org/sites/default/files/2023-12/FFV11_Cauliflowers_2023_e.pdf" TargetMode="External"/><Relationship Id="rId935" Type="http://schemas.openxmlformats.org/officeDocument/2006/relationships/hyperlink" Target="https://eur-lex.europa.eu/legal-content/EN/TXT/?uri=CELEX%3A02011R0543-20221024&amp;qid=1681464333326" TargetMode="External"/><Relationship Id="rId64" Type="http://schemas.openxmlformats.org/officeDocument/2006/relationships/hyperlink" Target="https://legislation.mt/eli/ln/1981/100/eng" TargetMode="External"/><Relationship Id="rId367" Type="http://schemas.openxmlformats.org/officeDocument/2006/relationships/hyperlink" Target="https://www.siegelklarheit.de/en/sa8000-8" TargetMode="External"/><Relationship Id="rId574" Type="http://schemas.openxmlformats.org/officeDocument/2006/relationships/hyperlink" Target="https://read.oecd-ilibrary.org/agriculture-and-food/watermelons_9789264178960-en-fr" TargetMode="External"/><Relationship Id="rId227" Type="http://schemas.openxmlformats.org/officeDocument/2006/relationships/hyperlink" Target="https://ec.europa.eu/agriculture/eambrosia/geographical-indications-register/" TargetMode="External"/><Relationship Id="rId781" Type="http://schemas.openxmlformats.org/officeDocument/2006/relationships/hyperlink" Target="https://unece.org/sites/default/files/2023-12/FFV-58_Leafy_vegetables_2023_e.pdf" TargetMode="External"/><Relationship Id="rId879" Type="http://schemas.openxmlformats.org/officeDocument/2006/relationships/hyperlink" Target="https://eur-lex.europa.eu/legal-content/EN/TXT/?uri=CELEX%3A02011R0543-20221024&amp;qid=1681464333326" TargetMode="External"/><Relationship Id="rId434" Type="http://schemas.openxmlformats.org/officeDocument/2006/relationships/hyperlink" Target="https://www.fao.org/fao-who-codexalimentarius/sh-proxy/en/?lnk=1&amp;url=https%253A%252F%252Fworkspace.fao.org%252Fsites%252Fcodex%252FStandards%252FCXS%2B13-1981%252FCXS_013e.pdf" TargetMode="External"/><Relationship Id="rId641" Type="http://schemas.openxmlformats.org/officeDocument/2006/relationships/hyperlink" Target="https://read.oecd-ilibrary.org/agriculture-and-food/carrots_9789264081871-en-fr" TargetMode="External"/><Relationship Id="rId739" Type="http://schemas.openxmlformats.org/officeDocument/2006/relationships/hyperlink" Target="https://unece.org/sites/default/files/2024-03/FFV-55_Chanterelles_2023_e.pdf" TargetMode="External"/><Relationship Id="rId280" Type="http://schemas.openxmlformats.org/officeDocument/2006/relationships/hyperlink" Target="https://ec.europa.eu/agriculture/eambrosia/geographical-indications-register/" TargetMode="External"/><Relationship Id="rId501" Type="http://schemas.openxmlformats.org/officeDocument/2006/relationships/hyperlink" Target="https://www.oecd-ilibrary.org/docserver/f9210db0-en-fr.pdf?expires=1714684643&amp;id=id&amp;accname=guest&amp;checksum=FF14B51CAE784302E24CB710A213E6FB" TargetMode="External"/><Relationship Id="rId946" Type="http://schemas.openxmlformats.org/officeDocument/2006/relationships/hyperlink" Target="https://eur-lex.europa.eu/legal-content/EN/TXT/?uri=CELEX%3A02011R0543-20221024&amp;qid=1681464333326" TargetMode="External"/><Relationship Id="rId75" Type="http://schemas.openxmlformats.org/officeDocument/2006/relationships/hyperlink" Target="https://ec.europa.eu/agriculture/eambrosia/geographical-indications-register/" TargetMode="External"/><Relationship Id="rId140" Type="http://schemas.openxmlformats.org/officeDocument/2006/relationships/hyperlink" Target="https://ec.europa.eu/agriculture/eambrosia/geographical-indications-register/" TargetMode="External"/><Relationship Id="rId378" Type="http://schemas.openxmlformats.org/officeDocument/2006/relationships/hyperlink" Target="https://www.fao.org/fao-who-codexalimentarius/sh-proxy/en/?lnk=1&amp;url=https%253A%252F%252Fworkspace.fao.org%252Fsites%252Fcodex%252FStandards%252FCXS%2B130-1981%252FCXS_130e.pdf" TargetMode="External"/><Relationship Id="rId585" Type="http://schemas.openxmlformats.org/officeDocument/2006/relationships/hyperlink" Target="https://www.oecd.org/agriculture/fruit-vegetables/publications/brochures/apricots-9789264084902-en-fr.htm" TargetMode="External"/><Relationship Id="rId792" Type="http://schemas.openxmlformats.org/officeDocument/2006/relationships/hyperlink" Target="https://unece.org/sites/default/files/2024-03/FFV-63_Persimmons_2023_e.pdf" TargetMode="External"/><Relationship Id="rId806" Type="http://schemas.openxmlformats.org/officeDocument/2006/relationships/hyperlink" Target="https://unece.org/sites/default/files/2024-03/FFV-62_Quince_2023_e.pdf" TargetMode="External"/><Relationship Id="rId6" Type="http://schemas.openxmlformats.org/officeDocument/2006/relationships/hyperlink" Target="https://bfsa.egov.bg/wps/wcm/connect/bfsa.egov.bg19113/020aaf66-0ed3-4b04-9055-4df823cd51f8/%D0%A3%D0%A1_01+2010.pdf?MOD=AJPERES&amp;CVID=ofmx8Jv" TargetMode="External"/><Relationship Id="rId238" Type="http://schemas.openxmlformats.org/officeDocument/2006/relationships/hyperlink" Target="https://ec.europa.eu/agriculture/eambrosia/geographical-indications-register/" TargetMode="External"/><Relationship Id="rId445" Type="http://schemas.openxmlformats.org/officeDocument/2006/relationships/hyperlink" Target="https://www.fao.org/fao-who-codexalimentarius/sh-proxy/en/?lnk=1&amp;url=https%253A%252F%252Fworkspace.fao.org%252Fsites%252Fcodex%252FStandards%252FCXS%2B89-1981%252FCXS_089e.pdf" TargetMode="External"/><Relationship Id="rId652" Type="http://schemas.openxmlformats.org/officeDocument/2006/relationships/hyperlink" Target="https://read.oecd-ilibrary.org/agriculture-and-food/chicory_cf4b9857-en-fr" TargetMode="External"/><Relationship Id="rId291" Type="http://schemas.openxmlformats.org/officeDocument/2006/relationships/hyperlink" Target="https://unece.org/sites/default/files/2023-12/FFV15_Cucumbers_2023_e.pdf" TargetMode="External"/><Relationship Id="rId305" Type="http://schemas.openxmlformats.org/officeDocument/2006/relationships/hyperlink" Target="https://betervooriedereen.be/" TargetMode="External"/><Relationship Id="rId512" Type="http://schemas.openxmlformats.org/officeDocument/2006/relationships/hyperlink" Target="https://read.oecd-ilibrary.org/agriculture-and-food/melons_9789264213289-en-fr" TargetMode="External"/><Relationship Id="rId957" Type="http://schemas.openxmlformats.org/officeDocument/2006/relationships/hyperlink" Target="https://eur-lex.europa.eu/legal-content/EN/TXT/?uri=CELEX%3A32013R0546" TargetMode="External"/><Relationship Id="rId86" Type="http://schemas.openxmlformats.org/officeDocument/2006/relationships/hyperlink" Target="https://ec.europa.eu/agriculture/eambrosia/geographical-indications-register/" TargetMode="External"/><Relationship Id="rId151" Type="http://schemas.openxmlformats.org/officeDocument/2006/relationships/hyperlink" Target="https://ec.europa.eu/agriculture/eambrosia/geographical-indications-register/" TargetMode="External"/><Relationship Id="rId389" Type="http://schemas.openxmlformats.org/officeDocument/2006/relationships/hyperlink" Target="https://www.fao.org/fao-who-codexalimentarius/sh-proxy/en/?lnk=1&amp;url=https%253A%252F%252Fworkspace.fao.org%252Fsites%252Fcodex%252FStandards%252FCXS%2B215-1999%252FCXS_215e.pdf" TargetMode="External"/><Relationship Id="rId596" Type="http://schemas.openxmlformats.org/officeDocument/2006/relationships/hyperlink" Target="https://read.oecd-ilibrary.org/agriculture-and-food/avocados_44a6e19b-en-fr-es" TargetMode="External"/><Relationship Id="rId817" Type="http://schemas.openxmlformats.org/officeDocument/2006/relationships/hyperlink" Target="https://unece.org/sites/default/files/2023-12/FFV-39_Sweet_Chestnuts_2023_e.pdf" TargetMode="External"/><Relationship Id="rId249" Type="http://schemas.openxmlformats.org/officeDocument/2006/relationships/hyperlink" Target="https://ec.europa.eu/agriculture/eambrosia/geographical-indications-register/" TargetMode="External"/><Relationship Id="rId456" Type="http://schemas.openxmlformats.org/officeDocument/2006/relationships/hyperlink" Target="https://www.fao.org/fao-who-codexalimentarius/sh-proxy/en/?lnk=1&amp;url=https%253A%252F%252Fworkspace.fao.org%252Fsites%252Fcodex%252FStandards%252FCXS%2B190-1995%252FCXS_190e.pdf" TargetMode="External"/><Relationship Id="rId663" Type="http://schemas.openxmlformats.org/officeDocument/2006/relationships/hyperlink" Target="https://read.oecd-ilibrary.org/agriculture-and-food/cherries_9789264248625-en-fr" TargetMode="External"/><Relationship Id="rId870" Type="http://schemas.openxmlformats.org/officeDocument/2006/relationships/hyperlink" Target="https://eur-lex.europa.eu/legal-content/EN/TXT/?uri=celex%3A32013R1379" TargetMode="External"/><Relationship Id="rId13" Type="http://schemas.openxmlformats.org/officeDocument/2006/relationships/hyperlink" Target="https://bfsa.egov.bg/wps/wcm/connect/bfsa.egov.bg19113/83370f23-c81e-4bee-ac49-dd155ae8a45b/naredba_7_stikeri.docx?MOD=AJPERES&amp;CVID=oahY6xM" TargetMode="External"/><Relationship Id="rId109" Type="http://schemas.openxmlformats.org/officeDocument/2006/relationships/hyperlink" Target="https://extranet.inao.gouv.fr/fichier/ODG-DEC-CNIGPLRSTG2007-64.pdf" TargetMode="External"/><Relationship Id="rId316" Type="http://schemas.openxmlformats.org/officeDocument/2006/relationships/hyperlink" Target="https://www.cora.fr/faire_mes_courses/les_selections_du_moment/selections_cora/nature_bio-c-405159" TargetMode="External"/><Relationship Id="rId523" Type="http://schemas.openxmlformats.org/officeDocument/2006/relationships/hyperlink" Target="https://www.oecd.org/agriculture/fruit-vegetables/publications/brochures/Brochure%20Passion%20Fruit%202023%20interactif%20%20%20Fiches%20V2.pdf" TargetMode="External"/><Relationship Id="rId968" Type="http://schemas.openxmlformats.org/officeDocument/2006/relationships/hyperlink" Target="https://diariodarepublica.pt/dr/detalhe/decreto-lei/134-2002-160350" TargetMode="External"/><Relationship Id="rId97" Type="http://schemas.openxmlformats.org/officeDocument/2006/relationships/hyperlink" Target="https://ec.europa.eu/agriculture/eambrosia/geographical-indications-register/" TargetMode="External"/><Relationship Id="rId730" Type="http://schemas.openxmlformats.org/officeDocument/2006/relationships/hyperlink" Target="https://unece.org/sites/default/files/2023-12/FFV11_Cauliflowers_2023_e.pdf" TargetMode="External"/><Relationship Id="rId828" Type="http://schemas.openxmlformats.org/officeDocument/2006/relationships/hyperlink" Target="https://unece.org/sites/default/files/2024-03/FFV-53_Truffles_2023_e.pdf" TargetMode="External"/><Relationship Id="rId162" Type="http://schemas.openxmlformats.org/officeDocument/2006/relationships/hyperlink" Target="https://ec.europa.eu/agriculture/eambrosia/geographical-indications-register/" TargetMode="External"/><Relationship Id="rId467" Type="http://schemas.openxmlformats.org/officeDocument/2006/relationships/hyperlink" Target="https://read.oecd-ilibrary.org/agriculture-and-food/fresh-figs_9789264234086-en-fr" TargetMode="External"/><Relationship Id="rId674" Type="http://schemas.openxmlformats.org/officeDocument/2006/relationships/hyperlink" Target="https://read.oecd-ilibrary.org/agriculture-and-food/cucumbers_9789264045262-en-fr" TargetMode="External"/><Relationship Id="rId881" Type="http://schemas.openxmlformats.org/officeDocument/2006/relationships/hyperlink" Target="https://eur-lex.europa.eu/legal-content/EN/TXT/?uri=CELEX%3A02011R0543-20221024&amp;qid=1681464333326" TargetMode="External"/><Relationship Id="rId24" Type="http://schemas.openxmlformats.org/officeDocument/2006/relationships/hyperlink" Target="https://pisrs.si/Prevodi/EN-2017-01-0366-2016-01-2806-npb1.doc" TargetMode="External"/><Relationship Id="rId327" Type="http://schemas.openxmlformats.org/officeDocument/2006/relationships/hyperlink" Target="https://www.anpoc.pt/" TargetMode="External"/><Relationship Id="rId534" Type="http://schemas.openxmlformats.org/officeDocument/2006/relationships/hyperlink" Target="https://www.oecd-ilibrary.org/docserver/dda2dfce-en-fr.pdf?expires=1714684906&amp;id=id&amp;accname=guest&amp;checksum=F9E18B0470BCBB1240457C7D3BA41C20" TargetMode="External"/><Relationship Id="rId741" Type="http://schemas.openxmlformats.org/officeDocument/2006/relationships/hyperlink" Target="https://unece.org/sites/default/files/2023-12/FFV-65_Certain_small_fruits_2023_e_0.pdf" TargetMode="External"/><Relationship Id="rId839" Type="http://schemas.openxmlformats.org/officeDocument/2006/relationships/hyperlink" Target="https://unece.org/sites/default/files/2024-03/FFV-49_Pineapples_2023_e.pdf" TargetMode="External"/><Relationship Id="rId173" Type="http://schemas.openxmlformats.org/officeDocument/2006/relationships/hyperlink" Target="https://ec.europa.eu/agriculture/eambrosia/geographical-indications-register/" TargetMode="External"/><Relationship Id="rId380" Type="http://schemas.openxmlformats.org/officeDocument/2006/relationships/hyperlink" Target="https://www.fao.org/fao-who-codexalimentarius/sh-proxy/en/?lnk=1&amp;url=https%253A%252F%252Fworkspace.fao.org%252Fsites%252Fcodex%252FStandards%252FCXS%2B182-1993%252FCXS_182e.pdf" TargetMode="External"/><Relationship Id="rId601" Type="http://schemas.openxmlformats.org/officeDocument/2006/relationships/hyperlink" Target="https://read.oecd-ilibrary.org/agriculture-and-food/avocados_44a6e19b-en-fr-es" TargetMode="External"/><Relationship Id="rId240" Type="http://schemas.openxmlformats.org/officeDocument/2006/relationships/hyperlink" Target="https://ec.europa.eu/agriculture/eambrosia/geographical-indications-register/" TargetMode="External"/><Relationship Id="rId478" Type="http://schemas.openxmlformats.org/officeDocument/2006/relationships/hyperlink" Target="https://read.oecd-ilibrary.org/agriculture-and-food/inshell-hazelnuts-and-hazelnut-kernels_9789264166721-en-fr" TargetMode="External"/><Relationship Id="rId685" Type="http://schemas.openxmlformats.org/officeDocument/2006/relationships/hyperlink" Target="https://unece.org/sites/default/files/2024-03/FFV-57_Berry_fruits_2023_e.pdf" TargetMode="External"/><Relationship Id="rId892" Type="http://schemas.openxmlformats.org/officeDocument/2006/relationships/hyperlink" Target="https://eur-lex.europa.eu/legal-content/EN/TXT/?uri=CELEX%3A02011R0543-20221024&amp;qid=1681464333326" TargetMode="External"/><Relationship Id="rId906" Type="http://schemas.openxmlformats.org/officeDocument/2006/relationships/hyperlink" Target="https://eur-lex.europa.eu/legal-content/EN/TXT/?uri=CELEX%3A02011R0543-20221024&amp;qid=1681464333326" TargetMode="External"/><Relationship Id="rId35" Type="http://schemas.openxmlformats.org/officeDocument/2006/relationships/hyperlink" Target="https://pisrs.si/pregledPredpisa?id=PRAV4479" TargetMode="External"/><Relationship Id="rId100" Type="http://schemas.openxmlformats.org/officeDocument/2006/relationships/hyperlink" Target="https://ec.europa.eu/agriculture/eambrosia/geographical-indications-register/" TargetMode="External"/><Relationship Id="rId338" Type="http://schemas.openxmlformats.org/officeDocument/2006/relationships/hyperlink" Target="https://www.csqa.it/it-it/certificazioni/agroalimentare/marchi-regionali" TargetMode="External"/><Relationship Id="rId545" Type="http://schemas.openxmlformats.org/officeDocument/2006/relationships/hyperlink" Target="https://read.oecd-ilibrary.org/agriculture-and-food/pomegranate_9789264206700-en-fr" TargetMode="External"/><Relationship Id="rId752" Type="http://schemas.openxmlformats.org/officeDocument/2006/relationships/hyperlink" Target="https://unece.org/sites/default/files/2024-03/FFV-54_Ceps_2023_e.pdf" TargetMode="External"/><Relationship Id="rId184" Type="http://schemas.openxmlformats.org/officeDocument/2006/relationships/hyperlink" Target="https://ec.europa.eu/agriculture/eambrosia/geographical-indications-register/" TargetMode="External"/><Relationship Id="rId391" Type="http://schemas.openxmlformats.org/officeDocument/2006/relationships/hyperlink" Target="https://www.fao.org/fao-who-codexalimentarius/sh-proxy/en/?lnk=1&amp;url=https%253A%252F%252Fworkspace.fao.org%252Fsites%252Fcodex%252FStandards%252FCXS%2B225-2001%252FCXS_225e.pdf" TargetMode="External"/><Relationship Id="rId405" Type="http://schemas.openxmlformats.org/officeDocument/2006/relationships/hyperlink" Target="https://www.fao.org/fao-who-codexalimentarius/sh-proxy/en/?lnk=1&amp;url=https%253A%252F%252Fworkspace.fao.org%252Fsites%252Fcodex%252FStandards%252FCXS%2B347-2019%252FCXS_347e.pdf" TargetMode="External"/><Relationship Id="rId612" Type="http://schemas.openxmlformats.org/officeDocument/2006/relationships/hyperlink" Target="https://www.oecd.org/agriculture/fruit-vegetables/publications/brochures/oecd-explanatory-brochure-on-bananas-brochure-interpretative-ocde-pour-les-bananes.pdf" TargetMode="External"/><Relationship Id="rId251" Type="http://schemas.openxmlformats.org/officeDocument/2006/relationships/hyperlink" Target="https://ec.europa.eu/agriculture/eambrosia/geographical-indications-register/" TargetMode="External"/><Relationship Id="rId489" Type="http://schemas.openxmlformats.org/officeDocument/2006/relationships/hyperlink" Target="https://www.oecd-ilibrary.org/docserver/dbf45fde-en-fr.pdf?expires=1714684486&amp;id=id&amp;accname=guest&amp;checksum=8EBA4104DBC1C842B5F0A1AF67690B23" TargetMode="External"/><Relationship Id="rId696" Type="http://schemas.openxmlformats.org/officeDocument/2006/relationships/hyperlink" Target="https://unece.org/sites/default/files/2024-03/FFV-08_Brussels_sprouts_2023_e.pdf" TargetMode="External"/><Relationship Id="rId917" Type="http://schemas.openxmlformats.org/officeDocument/2006/relationships/hyperlink" Target="https://eur-lex.europa.eu/legal-content/EN/TXT/?uri=CELEX%3A02011R0543-20221024&amp;qid=1681464333326" TargetMode="External"/><Relationship Id="rId46" Type="http://schemas.openxmlformats.org/officeDocument/2006/relationships/hyperlink" Target="https://www.fsai.ie/enforcement-and-legislation/legislation/food-legislation/meat-fresh-meat/labelling-of-beef-and-beef-products" TargetMode="External"/><Relationship Id="rId349" Type="http://schemas.openxmlformats.org/officeDocument/2006/relationships/hyperlink" Target="https://www.csi-spa.com/en/certification-of-agri-forest-supply-chain/iso-22005-traceability-food-supply-chain" TargetMode="External"/><Relationship Id="rId556" Type="http://schemas.openxmlformats.org/officeDocument/2006/relationships/hyperlink" Target="https://www.oecd-ilibrary.org/docserver/860574df-en-fr.pdf?expires=1714685131&amp;id=id&amp;accname=guest&amp;checksum=CD4C1445CF68EB45B9C0F10461F10A2D" TargetMode="External"/><Relationship Id="rId763" Type="http://schemas.openxmlformats.org/officeDocument/2006/relationships/hyperlink" Target="https://unece.org/sites/default/files/2024-03/FFV-41_Courgettes_2023_e.pdf" TargetMode="External"/><Relationship Id="rId111" Type="http://schemas.openxmlformats.org/officeDocument/2006/relationships/hyperlink" Target="https://www.inao.gouv.fr/content/download/5278/44538/version/1/file/CP_INAO_STG-BoeufTradRaceNormande_240126.pdf" TargetMode="External"/><Relationship Id="rId195" Type="http://schemas.openxmlformats.org/officeDocument/2006/relationships/hyperlink" Target="https://ec.europa.eu/agriculture/eambrosia/geographical-indications-register/" TargetMode="External"/><Relationship Id="rId209" Type="http://schemas.openxmlformats.org/officeDocument/2006/relationships/hyperlink" Target="https://ec.europa.eu/agriculture/eambrosia/geographical-indications-register/" TargetMode="External"/><Relationship Id="rId416" Type="http://schemas.openxmlformats.org/officeDocument/2006/relationships/hyperlink" Target="https://www.fao.org/fao-who-codexalimentarius/sh-proxy/en/?lnk=1&amp;url=https%253A%252F%252Fworkspace.fao.org%252Fsites%252Fcodex%252FStandards%252FCXS%2B169-1989%252FCXS_169e.pdf" TargetMode="External"/><Relationship Id="rId970" Type="http://schemas.openxmlformats.org/officeDocument/2006/relationships/drawing" Target="../drawings/drawing2.xml"/><Relationship Id="rId623" Type="http://schemas.openxmlformats.org/officeDocument/2006/relationships/hyperlink" Target="https://read.oecd-ilibrary.org/agriculture-and-food/beans_0bc40eec-en-fr" TargetMode="External"/><Relationship Id="rId830" Type="http://schemas.openxmlformats.org/officeDocument/2006/relationships/hyperlink" Target="https://unece.org/sites/default/files/2024-03/FFV-53_Truffles_2023_e.pdf" TargetMode="External"/><Relationship Id="rId928" Type="http://schemas.openxmlformats.org/officeDocument/2006/relationships/hyperlink" Target="https://eur-lex.europa.eu/legal-content/EN/TXT/?uri=CELEX%3A02011R0543-20221024&amp;qid=1681464333326" TargetMode="External"/><Relationship Id="rId57" Type="http://schemas.openxmlformats.org/officeDocument/2006/relationships/hyperlink" Target="https://www.produktyregionalne.pl/jakosc.html" TargetMode="External"/><Relationship Id="rId262" Type="http://schemas.openxmlformats.org/officeDocument/2006/relationships/hyperlink" Target="https://ec.europa.eu/agriculture/eambrosia/geographical-indications-register/" TargetMode="External"/><Relationship Id="rId567" Type="http://schemas.openxmlformats.org/officeDocument/2006/relationships/hyperlink" Target="https://read.oecd-ilibrary.org/agriculture-and-food/shallots_9789264213265-en-fr" TargetMode="External"/><Relationship Id="rId122" Type="http://schemas.openxmlformats.org/officeDocument/2006/relationships/hyperlink" Target="https://ec.europa.eu/agriculture/eambrosia/geographical-indications-register/" TargetMode="External"/><Relationship Id="rId774" Type="http://schemas.openxmlformats.org/officeDocument/2006/relationships/hyperlink" Target="https://unece.org/sites/default/files/2024-03/FFV-16_Fennel_2023_e.pdf" TargetMode="External"/><Relationship Id="rId427" Type="http://schemas.openxmlformats.org/officeDocument/2006/relationships/hyperlink" Target="https://www.fao.org/fao-who-codexalimentarius/sh-proxy/en/?lnk=1&amp;url=https%253A%252F%252Fworkspace.fao.org%252Fsites%252Fcodex%252FStandards%252FCXS%2B236-2003%252FCXS_236e.pdf" TargetMode="External"/><Relationship Id="rId634" Type="http://schemas.openxmlformats.org/officeDocument/2006/relationships/hyperlink" Target="https://read.oecd-ilibrary.org/agriculture-and-food/broccoli_9789264188822-en-fr" TargetMode="External"/><Relationship Id="rId841" Type="http://schemas.openxmlformats.org/officeDocument/2006/relationships/hyperlink" Target="https://unece.org/sites/default/files/2024-03/FFV-49_Pineapples_2023_e.pdf" TargetMode="External"/><Relationship Id="rId273" Type="http://schemas.openxmlformats.org/officeDocument/2006/relationships/hyperlink" Target="https://ec.europa.eu/agriculture/eambrosia/geographical-indications-register/" TargetMode="External"/><Relationship Id="rId480" Type="http://schemas.openxmlformats.org/officeDocument/2006/relationships/hyperlink" Target="https://read.oecd-ilibrary.org/agriculture-and-food/inshell-hazelnuts-and-hazelnut-kernels_9789264166721-en-fr" TargetMode="External"/><Relationship Id="rId701" Type="http://schemas.openxmlformats.org/officeDocument/2006/relationships/hyperlink" Target="https://unece.org/sites/default/files/2024-03/FFV-09_Headed_cabbages_2023_e.pdf" TargetMode="External"/><Relationship Id="rId939" Type="http://schemas.openxmlformats.org/officeDocument/2006/relationships/hyperlink" Target="https://eur-lex.europa.eu/legal-content/EN/TXT/?uri=CELEX%3A02011R0543-20221024&amp;qid=1681464333326" TargetMode="External"/><Relationship Id="rId68" Type="http://schemas.openxmlformats.org/officeDocument/2006/relationships/hyperlink" Target="https://unece.org/sites/default/files/2023-07/SL_FFV_2021_e_final.pdf" TargetMode="External"/><Relationship Id="rId133" Type="http://schemas.openxmlformats.org/officeDocument/2006/relationships/hyperlink" Target="https://ec.europa.eu/agriculture/eambrosia/geographical-indications-register/" TargetMode="External"/><Relationship Id="rId340" Type="http://schemas.openxmlformats.org/officeDocument/2006/relationships/hyperlink" Target="https://www.gov.pl/web/rolnictwo/system-gwarantowanej-jakosci-ywnosci-qafp" TargetMode="External"/><Relationship Id="rId578" Type="http://schemas.openxmlformats.org/officeDocument/2006/relationships/hyperlink" Target="https://read.oecd-ilibrary.org/agriculture-and-food/watermelons_9789264178960-en-fr" TargetMode="External"/><Relationship Id="rId785" Type="http://schemas.openxmlformats.org/officeDocument/2006/relationships/hyperlink" Target="https://unece.org/sites/default/files/2023-12/FFV-27_Peas_2023_e.pdf" TargetMode="External"/><Relationship Id="rId200" Type="http://schemas.openxmlformats.org/officeDocument/2006/relationships/hyperlink" Target="https://ec.europa.eu/agriculture/eambrosia/geographical-indications-register/" TargetMode="External"/><Relationship Id="rId438" Type="http://schemas.openxmlformats.org/officeDocument/2006/relationships/hyperlink" Target="https://www.fao.org/fao-who-codexalimentarius/sh-proxy/en/?lnk=1&amp;url=https%253A%252F%252Fworkspace.fao.org%252Fsites%252Fcodex%252FStandards%252FCXS%2B99-1981%252FCXS_099e.pdf" TargetMode="External"/><Relationship Id="rId645" Type="http://schemas.openxmlformats.org/officeDocument/2006/relationships/hyperlink" Target="https://read.oecd-ilibrary.org/agriculture-and-food/chinese-cabbage_9789264248694-en-fr" TargetMode="External"/><Relationship Id="rId852" Type="http://schemas.openxmlformats.org/officeDocument/2006/relationships/hyperlink" Target="https://unece.org/sites/default/files/2024-03/FFV-23_Melons_2023_e.pdf" TargetMode="External"/><Relationship Id="rId284" Type="http://schemas.openxmlformats.org/officeDocument/2006/relationships/hyperlink" Target="https://icea.bio/en/certifications/food/organic-inspection/agriculture-biologique-france/" TargetMode="External"/><Relationship Id="rId491" Type="http://schemas.openxmlformats.org/officeDocument/2006/relationships/hyperlink" Target="https://www.oecd-ilibrary.org/docserver/dbf45fde-en-fr.pdf?expires=1714684486&amp;id=id&amp;accname=guest&amp;checksum=8EBA4104DBC1C842B5F0A1AF67690B23" TargetMode="External"/><Relationship Id="rId505" Type="http://schemas.openxmlformats.org/officeDocument/2006/relationships/hyperlink" Target="https://read.oecd-ilibrary.org/agriculture-and-food/melons_9789264213289-en-fr" TargetMode="External"/><Relationship Id="rId712" Type="http://schemas.openxmlformats.org/officeDocument/2006/relationships/hyperlink" Target="https://unece.org/sites/default/files/2024-03/FFV-03_Artichokes_2023_e.pdf" TargetMode="External"/><Relationship Id="rId79" Type="http://schemas.openxmlformats.org/officeDocument/2006/relationships/hyperlink" Target="https://ec.europa.eu/agriculture/eambrosia/geographical-indications-register/" TargetMode="External"/><Relationship Id="rId144" Type="http://schemas.openxmlformats.org/officeDocument/2006/relationships/hyperlink" Target="https://ec.europa.eu/agriculture/eambrosia/geographical-indications-register/" TargetMode="External"/><Relationship Id="rId589" Type="http://schemas.openxmlformats.org/officeDocument/2006/relationships/hyperlink" Target="https://read.oecd-ilibrary.org/agriculture-and-food/international-standards-for-fruit-and-vegetables_9789264116351-en-fr" TargetMode="External"/><Relationship Id="rId796" Type="http://schemas.openxmlformats.org/officeDocument/2006/relationships/hyperlink" Target="https://unece.org/sites/default/files/2024-03/FFV-63_Persimmons_2023_e.pdf" TargetMode="External"/><Relationship Id="rId351" Type="http://schemas.openxmlformats.org/officeDocument/2006/relationships/hyperlink" Target="https://www.donausoja.org/certification-inspection/europe-soya-standard/" TargetMode="External"/><Relationship Id="rId449" Type="http://schemas.openxmlformats.org/officeDocument/2006/relationships/hyperlink" Target="https://www.fao.org/fao-who-codexalimentarius/sh-proxy/en/?lnk=1&amp;url=https%253A%252F%252Fworkspace.fao.org%252Fsites%252Fcodex%252FStandards%252FCXS%2B119-1981%252FCXS_119e.pdf" TargetMode="External"/><Relationship Id="rId656" Type="http://schemas.openxmlformats.org/officeDocument/2006/relationships/hyperlink" Target="https://read.oecd-ilibrary.org/agriculture-and-food/chicory_cf4b9857-en-fr" TargetMode="External"/><Relationship Id="rId863" Type="http://schemas.openxmlformats.org/officeDocument/2006/relationships/hyperlink" Target="https://unece.org/sites/default/files/2024-03/FFV-60_Lambs_lettuce_2023_e.pdf" TargetMode="External"/><Relationship Id="rId211" Type="http://schemas.openxmlformats.org/officeDocument/2006/relationships/hyperlink" Target="https://ec.europa.eu/agriculture/eambrosia/geographical-indications-register/" TargetMode="External"/><Relationship Id="rId295" Type="http://schemas.openxmlformats.org/officeDocument/2006/relationships/hyperlink" Target="https://unece.org/sites/default/files/2024-03/FFV-14_Citrus_fruit_2023_e.pdf" TargetMode="External"/><Relationship Id="rId309" Type="http://schemas.openxmlformats.org/officeDocument/2006/relationships/hyperlink" Target="https://produits.bleu-blanc-coeur.org/types-de-produits" TargetMode="External"/><Relationship Id="rId516" Type="http://schemas.openxmlformats.org/officeDocument/2006/relationships/hyperlink" Target="https://read.oecd-ilibrary.org/agriculture-and-food/onions_9789264175082-en-fr" TargetMode="External"/><Relationship Id="rId723" Type="http://schemas.openxmlformats.org/officeDocument/2006/relationships/hyperlink" Target="https://unece.org/sites/default/files/2024-03/FFV-47_Annonas_2023_e.pdf" TargetMode="External"/><Relationship Id="rId930" Type="http://schemas.openxmlformats.org/officeDocument/2006/relationships/hyperlink" Target="https://eur-lex.europa.eu/legal-content/EN/TXT/?uri=CELEX%3A02011R0543-20221024&amp;qid=1681464333326" TargetMode="External"/><Relationship Id="rId155" Type="http://schemas.openxmlformats.org/officeDocument/2006/relationships/hyperlink" Target="https://ec.europa.eu/agriculture/eambrosia/geographical-indications-register/" TargetMode="External"/><Relationship Id="rId362" Type="http://schemas.openxmlformats.org/officeDocument/2006/relationships/hyperlink" Target="https://www.iso.org/standard/62085.html" TargetMode="External"/><Relationship Id="rId222" Type="http://schemas.openxmlformats.org/officeDocument/2006/relationships/hyperlink" Target="https://ec.europa.eu/agriculture/eambrosia/geographical-indications-register/" TargetMode="External"/><Relationship Id="rId667" Type="http://schemas.openxmlformats.org/officeDocument/2006/relationships/hyperlink" Target="https://read.oecd-ilibrary.org/agriculture-and-food/cherries_9789264248625-en-fr" TargetMode="External"/><Relationship Id="rId874" Type="http://schemas.openxmlformats.org/officeDocument/2006/relationships/hyperlink" Target="https://www.eu-fusions.org/index.php/download?download=161:review-of-eu-legislation-and-policies-with-implications-on-food-waste" TargetMode="External"/><Relationship Id="rId17" Type="http://schemas.openxmlformats.org/officeDocument/2006/relationships/hyperlink" Target="https://vlaco.be/nieuws/vlarema-9-en-het-gebruik-van-fruitstickers" TargetMode="External"/><Relationship Id="rId527" Type="http://schemas.openxmlformats.org/officeDocument/2006/relationships/hyperlink" Target="https://www.oecd.org/agriculture/fruit-vegetables/publications/brochures/Brochure%20Passion%20Fruit%202023%20interactif%20%20%20Fiches%20V2.pdf" TargetMode="External"/><Relationship Id="rId734" Type="http://schemas.openxmlformats.org/officeDocument/2006/relationships/hyperlink" Target="https://unece.org/sites/default/files/2024-03/FFV-55_Chanterelles_2023_e.pdf" TargetMode="External"/><Relationship Id="rId941" Type="http://schemas.openxmlformats.org/officeDocument/2006/relationships/hyperlink" Target="https://eur-lex.europa.eu/legal-content/EN/TXT/?uri=CELEX%3A02011R0543-20221024&amp;qid=1681464333326" TargetMode="External"/><Relationship Id="rId70" Type="http://schemas.openxmlformats.org/officeDocument/2006/relationships/hyperlink" Target="https://ec.europa.eu/agriculture/eambrosia/geographical-indications-register/" TargetMode="External"/><Relationship Id="rId166" Type="http://schemas.openxmlformats.org/officeDocument/2006/relationships/hyperlink" Target="https://ec.europa.eu/agriculture/eambrosia/geographical-indications-register/" TargetMode="External"/><Relationship Id="rId373" Type="http://schemas.openxmlformats.org/officeDocument/2006/relationships/hyperlink" Target="https://www.researchgate.net/profile/Oivind-Strand/publication/234040004_FarmingTheWatersForPeopleAndFood/links/0fcfd50e7796a86845000000/FarmingTheWatersForPeopleAndFood.pdf" TargetMode="External"/><Relationship Id="rId580" Type="http://schemas.openxmlformats.org/officeDocument/2006/relationships/hyperlink" Target="https://www.oecd.org/agriculture/fruit-vegetables/publications/brochures/apricots-9789264084902-en-fr.htm" TargetMode="External"/><Relationship Id="rId801" Type="http://schemas.openxmlformats.org/officeDocument/2006/relationships/hyperlink" Target="https://unece.org/sites/default/files/2024-03/FFV-62_Quince_2023_e.pdf" TargetMode="External"/><Relationship Id="rId1" Type="http://schemas.openxmlformats.org/officeDocument/2006/relationships/hyperlink" Target="https://www.inao.gouv.fr/Les-signes-officiels-de-la-qualite-et-de-l-origine-SIQO/Label-Rouge" TargetMode="External"/><Relationship Id="rId233" Type="http://schemas.openxmlformats.org/officeDocument/2006/relationships/hyperlink" Target="https://ec.europa.eu/agriculture/eambrosia/geographical-indications-register/" TargetMode="External"/><Relationship Id="rId440" Type="http://schemas.openxmlformats.org/officeDocument/2006/relationships/hyperlink" Target="https://www.fao.org/fao-who-codexalimentarius/sh-proxy/en/?lnk=1&amp;url=https%253A%252F%252Fworkspace.fao.org%252Fsites%252Fcodex%252FStandards%252FCXS%2B242-2003%252FCXS_242e.pdf" TargetMode="External"/><Relationship Id="rId678" Type="http://schemas.openxmlformats.org/officeDocument/2006/relationships/hyperlink" Target="https://read.oecd-ilibrary.org/agriculture-and-food/cultivated-mushrooms_9789264013261-en-fr" TargetMode="External"/><Relationship Id="rId885" Type="http://schemas.openxmlformats.org/officeDocument/2006/relationships/hyperlink" Target="https://eur-lex.europa.eu/legal-content/EN/TXT/?uri=CELEX%3A02011R0543-20221024&amp;qid=1681464333326" TargetMode="External"/><Relationship Id="rId28" Type="http://schemas.openxmlformats.org/officeDocument/2006/relationships/hyperlink" Target="https://pisrs.si/pregledPredpisa?id=PRAV12215" TargetMode="External"/><Relationship Id="rId300" Type="http://schemas.openxmlformats.org/officeDocument/2006/relationships/hyperlink" Target="https://www.belbeef.be/de-belbeef-standaard" TargetMode="External"/><Relationship Id="rId538" Type="http://schemas.openxmlformats.org/officeDocument/2006/relationships/hyperlink" Target="https://read.oecd-ilibrary.org/agriculture-and-food/pomegranate_9789264206700-en-fr" TargetMode="External"/><Relationship Id="rId745" Type="http://schemas.openxmlformats.org/officeDocument/2006/relationships/hyperlink" Target="https://unece.org/sites/default/files/2023-12/FFV-65_Certain_small_fruits_2023_e_0.pdf" TargetMode="External"/><Relationship Id="rId952" Type="http://schemas.openxmlformats.org/officeDocument/2006/relationships/hyperlink" Target="https://www.greatitalianfoodtrade.it/en/markets/eggs-minimal-variations-to-EU-marketing-standards/" TargetMode="External"/><Relationship Id="rId81" Type="http://schemas.openxmlformats.org/officeDocument/2006/relationships/hyperlink" Target="https://ec.europa.eu/agriculture/eambrosia/geographical-indications-register/" TargetMode="External"/><Relationship Id="rId177" Type="http://schemas.openxmlformats.org/officeDocument/2006/relationships/hyperlink" Target="https://ec.europa.eu/agriculture/eambrosia/geographical-indications-register/" TargetMode="External"/><Relationship Id="rId384" Type="http://schemas.openxmlformats.org/officeDocument/2006/relationships/hyperlink" Target="https://www.fao.org/fao-who-codexalimentarius/sh-proxy/en/?lnk=1&amp;url=https%253A%252F%252Fworkspace.fao.org%252Fsites%252Fcodex%252FStandards%252FCXS%2B188-1993%252FCXS_188e.pdf" TargetMode="External"/><Relationship Id="rId591" Type="http://schemas.openxmlformats.org/officeDocument/2006/relationships/hyperlink" Target="https://read.oecd-ilibrary.org/agriculture-and-food/international-standards-for-fruit-and-vegetables_9789264116351-en-fr" TargetMode="External"/><Relationship Id="rId605" Type="http://schemas.openxmlformats.org/officeDocument/2006/relationships/hyperlink" Target="https://www.oecd.org/agriculture/fruit-vegetables/publications/brochures/oecd-explanatory-brochure-on-bananas-brochure-interpretative-ocde-pour-les-bananes.pdf" TargetMode="External"/><Relationship Id="rId812" Type="http://schemas.openxmlformats.org/officeDocument/2006/relationships/hyperlink" Target="https://unece.org/sites/default/files/2024-03/FFV-12_Ribbed_celery_2023_e.pdf" TargetMode="External"/><Relationship Id="rId244" Type="http://schemas.openxmlformats.org/officeDocument/2006/relationships/hyperlink" Target="https://ec.europa.eu/agriculture/eambrosia/geographical-indications-register/" TargetMode="External"/><Relationship Id="rId689" Type="http://schemas.openxmlformats.org/officeDocument/2006/relationships/hyperlink" Target="https://unece.org/sites/default/files/2024-03/FFV-57_Berry_fruits_2023_e.pdf" TargetMode="External"/><Relationship Id="rId896" Type="http://schemas.openxmlformats.org/officeDocument/2006/relationships/hyperlink" Target="https://eur-lex.europa.eu/legal-content/EN/TXT/?uri=CELEX%3A02011R0543-20221024&amp;qid=1681464333326" TargetMode="External"/><Relationship Id="rId39" Type="http://schemas.openxmlformats.org/officeDocument/2006/relationships/hyperlink" Target="https://narodne-novine.nn.hr/clanci/sluzbeni/2019_09_84_1726.html" TargetMode="External"/><Relationship Id="rId451" Type="http://schemas.openxmlformats.org/officeDocument/2006/relationships/hyperlink" Target="https://www.fao.org/fao-who-codexalimentarius/sh-proxy/en/?lnk=1&amp;url=https%253A%252F%252Fworkspace.fao.org%252Fsites%252Fcodex%252FStandards%252FCXS%2B69-1981%252FCXS_069e.pdf" TargetMode="External"/><Relationship Id="rId549" Type="http://schemas.openxmlformats.org/officeDocument/2006/relationships/hyperlink" Target="https://read.oecd-ilibrary.org/agriculture-and-food/early-and-ware-potatoes_9789264068391-en-fr" TargetMode="External"/><Relationship Id="rId756" Type="http://schemas.openxmlformats.org/officeDocument/2006/relationships/hyperlink" Target="https://unece.org/sites/default/files/2024-03/FFV-61_Chilli_peppers_2023_e.pdf" TargetMode="External"/><Relationship Id="rId104" Type="http://schemas.openxmlformats.org/officeDocument/2006/relationships/hyperlink" Target="https://ec.europa.eu/agriculture/eambrosia/geographical-indications-register/" TargetMode="External"/><Relationship Id="rId188" Type="http://schemas.openxmlformats.org/officeDocument/2006/relationships/hyperlink" Target="https://ec.europa.eu/agriculture/eambrosia/geographical-indications-register/" TargetMode="External"/><Relationship Id="rId311" Type="http://schemas.openxmlformats.org/officeDocument/2006/relationships/hyperlink" Target="https://www.agriethique.fr/" TargetMode="External"/><Relationship Id="rId395" Type="http://schemas.openxmlformats.org/officeDocument/2006/relationships/hyperlink" Target="https://www.fao.org/fao-who-codexalimentarius/sh-proxy/en/?lnk=1&amp;url=https%253A%252F%252Fworkspace.fao.org%252Fsites%252Fcodex%252FStandards%252FCXS%2B255-2007%252FCXS_255e.pdf" TargetMode="External"/><Relationship Id="rId409" Type="http://schemas.openxmlformats.org/officeDocument/2006/relationships/hyperlink" Target="https://www.fao.org/fao-who-codexalimentarius/sh-proxy/en/?lnk=1&amp;url=https%253A%252F%252Fworkspace.fao.org%252Fsites%252Fcodex%252FStandards%252FCXS%2B88-1981%252FCXS_088e.pdf" TargetMode="External"/><Relationship Id="rId963" Type="http://schemas.openxmlformats.org/officeDocument/2006/relationships/hyperlink" Target="https://eur-lex.europa.eu/legal-content/en/ALL/?uri=CELEX:32008R0566" TargetMode="External"/><Relationship Id="rId92" Type="http://schemas.openxmlformats.org/officeDocument/2006/relationships/hyperlink" Target="https://ec.europa.eu/agriculture/eambrosia/geographical-indications-register/" TargetMode="External"/><Relationship Id="rId616" Type="http://schemas.openxmlformats.org/officeDocument/2006/relationships/hyperlink" Target="https://www.oecd.org/agriculture/fruit-vegetables/publications/brochures/oecd-explanatory-brochure-on-bananas-brochure-interpretative-ocde-pour-les-bananes.pdf" TargetMode="External"/><Relationship Id="rId823" Type="http://schemas.openxmlformats.org/officeDocument/2006/relationships/hyperlink" Target="https://unece.org/sites/default/files/2023-12/FFV-39_Sweet_Chestnuts_2023_e.pdf" TargetMode="External"/><Relationship Id="rId255" Type="http://schemas.openxmlformats.org/officeDocument/2006/relationships/hyperlink" Target="https://ec.europa.eu/agriculture/eambrosia/geographical-indications-register/" TargetMode="External"/><Relationship Id="rId297" Type="http://schemas.openxmlformats.org/officeDocument/2006/relationships/hyperlink" Target="https://www.q-s.de/qs-scheme/qssystem-en.html" TargetMode="External"/><Relationship Id="rId462" Type="http://schemas.openxmlformats.org/officeDocument/2006/relationships/hyperlink" Target="https://read.oecd-ilibrary.org/agriculture-and-food/fresh-figs_9789264234086-en-fr" TargetMode="External"/><Relationship Id="rId518" Type="http://schemas.openxmlformats.org/officeDocument/2006/relationships/hyperlink" Target="https://read.oecd-ilibrary.org/agriculture-and-food/onions_9789264175082-en-fr" TargetMode="External"/><Relationship Id="rId725" Type="http://schemas.openxmlformats.org/officeDocument/2006/relationships/hyperlink" Target="https://unece.org/sites/default/files/2023-12/FFV11_Cauliflowers_2023_e.pdf" TargetMode="External"/><Relationship Id="rId932" Type="http://schemas.openxmlformats.org/officeDocument/2006/relationships/hyperlink" Target="https://eur-lex.europa.eu/legal-content/EN/TXT/?uri=CELEX%3A02011R0543-20221024&amp;qid=1681464333326" TargetMode="External"/><Relationship Id="rId115" Type="http://schemas.openxmlformats.org/officeDocument/2006/relationships/hyperlink" Target="https://ec.europa.eu/agriculture/eambrosia/geographical-indications-register/" TargetMode="External"/><Relationship Id="rId157" Type="http://schemas.openxmlformats.org/officeDocument/2006/relationships/hyperlink" Target="https://ec.europa.eu/agriculture/eambrosia/geographical-indications-register/" TargetMode="External"/><Relationship Id="rId322" Type="http://schemas.openxmlformats.org/officeDocument/2006/relationships/hyperlink" Target="https://www.tomabel.be/" TargetMode="External"/><Relationship Id="rId364" Type="http://schemas.openxmlformats.org/officeDocument/2006/relationships/hyperlink" Target="https://www.rainforest-alliance.org/" TargetMode="External"/><Relationship Id="rId767" Type="http://schemas.openxmlformats.org/officeDocument/2006/relationships/hyperlink" Target="https://unece.org/sites/default/files/2024-03/FFV-41_Courgettes_2023_e.pdf" TargetMode="External"/><Relationship Id="rId61" Type="http://schemas.openxmlformats.org/officeDocument/2006/relationships/hyperlink" Target="https://legislation.mt/eli/sl/449.25/eng" TargetMode="External"/><Relationship Id="rId199" Type="http://schemas.openxmlformats.org/officeDocument/2006/relationships/hyperlink" Target="https://ec.europa.eu/agriculture/eambrosia/geographical-indications-register/" TargetMode="External"/><Relationship Id="rId571" Type="http://schemas.openxmlformats.org/officeDocument/2006/relationships/hyperlink" Target="https://read.oecd-ilibrary.org/agriculture-and-food/watermelons_9789264178960-en-fr" TargetMode="External"/><Relationship Id="rId627" Type="http://schemas.openxmlformats.org/officeDocument/2006/relationships/hyperlink" Target="https://read.oecd-ilibrary.org/agriculture-and-food/broccoli_9789264188822-en-fr" TargetMode="External"/><Relationship Id="rId669" Type="http://schemas.openxmlformats.org/officeDocument/2006/relationships/hyperlink" Target="https://read.oecd-ilibrary.org/agriculture-and-food/cucumbers_9789264045262-en-fr" TargetMode="External"/><Relationship Id="rId834" Type="http://schemas.openxmlformats.org/officeDocument/2006/relationships/hyperlink" Target="https://unece.org/sites/default/files/2024-03/FFV-49_Pineapples_2023_e.pdf" TargetMode="External"/><Relationship Id="rId876" Type="http://schemas.openxmlformats.org/officeDocument/2006/relationships/hyperlink" Target="https://eur-lex.europa.eu/LexUriServ/LexUriServ.do?uri=COM:2007:0136:FIN:EN:PDF" TargetMode="External"/><Relationship Id="rId19" Type="http://schemas.openxmlformats.org/officeDocument/2006/relationships/hyperlink" Target="https://www.ble.de/DE/Themen/Ernaehrung-Lebensmittel/Rindfleischetikettierung/rindfleischetikettierung_node.html;jsessionid=68F0D8695D61C5814CEC74FCF70781BA.internet971" TargetMode="External"/><Relationship Id="rId224" Type="http://schemas.openxmlformats.org/officeDocument/2006/relationships/hyperlink" Target="https://ec.europa.eu/agriculture/eambrosia/geographical-indications-register/" TargetMode="External"/><Relationship Id="rId266" Type="http://schemas.openxmlformats.org/officeDocument/2006/relationships/hyperlink" Target="https://ec.europa.eu/agriculture/eambrosia/geographical-indications-register/" TargetMode="External"/><Relationship Id="rId431" Type="http://schemas.openxmlformats.org/officeDocument/2006/relationships/hyperlink" Target="https://www.fao.org/fao-who-codexalimentarius/sh-proxy/en/?lnk=1&amp;url=https%253A%252F%252Fworkspace.fao.org%252Fsites%252Fcodex%252FStandards%252FCXS%2B106-1983%252FCXS_106e.pdf" TargetMode="External"/><Relationship Id="rId473" Type="http://schemas.openxmlformats.org/officeDocument/2006/relationships/hyperlink" Target="https://www.oecd-ilibrary.org/docserver/9789264272941-en-fr.pdf?expires=1714684325&amp;id=id&amp;accname=guest&amp;checksum=51E7DB1330BBA930286B91FBC4337913" TargetMode="External"/><Relationship Id="rId529" Type="http://schemas.openxmlformats.org/officeDocument/2006/relationships/hyperlink" Target="https://www.oecd-ilibrary.org/docserver/dda2dfce-en-fr.pdf?expires=1714684906&amp;id=id&amp;accname=guest&amp;checksum=F9E18B0470BCBB1240457C7D3BA41C20" TargetMode="External"/><Relationship Id="rId680" Type="http://schemas.openxmlformats.org/officeDocument/2006/relationships/hyperlink" Target="https://read.oecd-ilibrary.org/agriculture-and-food/cultivated-mushrooms_9789264013261-en-fr" TargetMode="External"/><Relationship Id="rId736" Type="http://schemas.openxmlformats.org/officeDocument/2006/relationships/hyperlink" Target="https://unece.org/sites/default/files/2024-03/FFV-55_Chanterelles_2023_e.pdf" TargetMode="External"/><Relationship Id="rId901" Type="http://schemas.openxmlformats.org/officeDocument/2006/relationships/hyperlink" Target="https://eur-lex.europa.eu/legal-content/EN/TXT/?uri=CELEX%3A02011R0543-20221024&amp;qid=1681464333326" TargetMode="External"/><Relationship Id="rId30" Type="http://schemas.openxmlformats.org/officeDocument/2006/relationships/hyperlink" Target="https://pisrs.si/pregledPredpisa?id=PRAV8640" TargetMode="External"/><Relationship Id="rId126" Type="http://schemas.openxmlformats.org/officeDocument/2006/relationships/hyperlink" Target="https://ec.europa.eu/agriculture/eambrosia/geographical-indications-register/" TargetMode="External"/><Relationship Id="rId168" Type="http://schemas.openxmlformats.org/officeDocument/2006/relationships/hyperlink" Target="https://ec.europa.eu/agriculture/eambrosia/geographical-indications-register/" TargetMode="External"/><Relationship Id="rId333" Type="http://schemas.openxmlformats.org/officeDocument/2006/relationships/hyperlink" Target="https://www.eatmeat.it/en/products/" TargetMode="External"/><Relationship Id="rId540" Type="http://schemas.openxmlformats.org/officeDocument/2006/relationships/hyperlink" Target="https://read.oecd-ilibrary.org/agriculture-and-food/pomegranate_9789264206700-en-fr" TargetMode="External"/><Relationship Id="rId778" Type="http://schemas.openxmlformats.org/officeDocument/2006/relationships/hyperlink" Target="https://unece.org/sites/default/files/2024-03/FFV-16_Fennel_2023_e.pdf" TargetMode="External"/><Relationship Id="rId943" Type="http://schemas.openxmlformats.org/officeDocument/2006/relationships/hyperlink" Target="https://eur-lex.europa.eu/legal-content/EN/TXT/?uri=CELEX%3A02011R0543-20221024&amp;qid=1681464333326" TargetMode="External"/><Relationship Id="rId72" Type="http://schemas.openxmlformats.org/officeDocument/2006/relationships/hyperlink" Target="https://ec.europa.eu/agriculture/eambrosia/geographical-indications-register/" TargetMode="External"/><Relationship Id="rId375" Type="http://schemas.openxmlformats.org/officeDocument/2006/relationships/hyperlink" Target="https://www.salmar.no/baerekraft/sertifiseringer/" TargetMode="External"/><Relationship Id="rId582" Type="http://schemas.openxmlformats.org/officeDocument/2006/relationships/hyperlink" Target="https://www.oecd.org/agriculture/fruit-vegetables/publications/brochures/apricots-9789264084902-en-fr.htm" TargetMode="External"/><Relationship Id="rId638" Type="http://schemas.openxmlformats.org/officeDocument/2006/relationships/hyperlink" Target="https://read.oecd-ilibrary.org/agriculture-and-food/carrots_9789264081871-en-fr" TargetMode="External"/><Relationship Id="rId803" Type="http://schemas.openxmlformats.org/officeDocument/2006/relationships/hyperlink" Target="https://unece.org/sites/default/files/2024-03/FFV-62_Quince_2023_e.pdf" TargetMode="External"/><Relationship Id="rId845" Type="http://schemas.openxmlformats.org/officeDocument/2006/relationships/hyperlink" Target="https://unece.org/sites/default/files/2024-03/FFV-40_Rhubarb_2023_e.pdf" TargetMode="External"/><Relationship Id="rId3" Type="http://schemas.openxmlformats.org/officeDocument/2006/relationships/hyperlink" Target="https://bds-bg.org/bg/project/show/bds:proj:23698" TargetMode="External"/><Relationship Id="rId235" Type="http://schemas.openxmlformats.org/officeDocument/2006/relationships/hyperlink" Target="https://ec.europa.eu/agriculture/eambrosia/geographical-indications-register/" TargetMode="External"/><Relationship Id="rId277" Type="http://schemas.openxmlformats.org/officeDocument/2006/relationships/hyperlink" Target="https://extranet.inao.gouv.fr/fichier/DU-MelonCavaillon-CN221006.pdf" TargetMode="External"/><Relationship Id="rId400" Type="http://schemas.openxmlformats.org/officeDocument/2006/relationships/hyperlink" Target="https://www.fao.org/fao-who-codexalimentarius/sh-proxy/en/?lnk=1&amp;url=https%253A%252F%252Fworkspace.fao.org%252Fsites%252Fcodex%252FStandards%252FCXS%2B310-2013%252FCXS_310e.pdf" TargetMode="External"/><Relationship Id="rId442" Type="http://schemas.openxmlformats.org/officeDocument/2006/relationships/hyperlink" Target="https://www.fao.org/fao-who-codexalimentarius/sh-proxy/en/?lnk=1&amp;url=https%253A%252F%252Fworkspace.fao.org%252Fsites%252Fcodex%252FStandards%252FCXS%2B260-2007%252FCXS_260e.pdf" TargetMode="External"/><Relationship Id="rId484" Type="http://schemas.openxmlformats.org/officeDocument/2006/relationships/hyperlink" Target="https://read.oecd-ilibrary.org/agriculture-and-food/inshell-hazelnuts-and-hazelnut-kernels_9789264166721-en-fr" TargetMode="External"/><Relationship Id="rId705" Type="http://schemas.openxmlformats.org/officeDocument/2006/relationships/hyperlink" Target="https://unece.org/sites/default/files/2024-03/FFV-09_Headed_cabbages_2023_e.pdf" TargetMode="External"/><Relationship Id="rId887" Type="http://schemas.openxmlformats.org/officeDocument/2006/relationships/hyperlink" Target="https://eur-lex.europa.eu/legal-content/EN/TXT/?uri=CELEX%3A02011R0543-20221024&amp;qid=1681464333326" TargetMode="External"/><Relationship Id="rId137" Type="http://schemas.openxmlformats.org/officeDocument/2006/relationships/hyperlink" Target="https://ec.europa.eu/agriculture/eambrosia/geographical-indications-register/" TargetMode="External"/><Relationship Id="rId302" Type="http://schemas.openxmlformats.org/officeDocument/2006/relationships/hyperlink" Target="https://belpork.be/nl/bepork/" TargetMode="External"/><Relationship Id="rId344" Type="http://schemas.openxmlformats.org/officeDocument/2006/relationships/hyperlink" Target="https://www.avined.nl/themas/kwaliteitsregelingen/ikbkip" TargetMode="External"/><Relationship Id="rId691" Type="http://schemas.openxmlformats.org/officeDocument/2006/relationships/hyperlink" Target="https://unece.org/sites/default/files/2024-03/FFV-08_Brussels_sprouts_2023_e.pdf" TargetMode="External"/><Relationship Id="rId747" Type="http://schemas.openxmlformats.org/officeDocument/2006/relationships/hyperlink" Target="https://unece.org/sites/default/files/2024-03/FFV-54_Ceps_2023_e.pdf" TargetMode="External"/><Relationship Id="rId789" Type="http://schemas.openxmlformats.org/officeDocument/2006/relationships/hyperlink" Target="https://unece.org/sites/default/files/2023-12/FFV-27_Peas_2023_e.pdf" TargetMode="External"/><Relationship Id="rId912" Type="http://schemas.openxmlformats.org/officeDocument/2006/relationships/hyperlink" Target="https://eur-lex.europa.eu/legal-content/EN/TXT/?uri=CELEX%3A02011R0543-20221024&amp;qid=1681464333326" TargetMode="External"/><Relationship Id="rId954" Type="http://schemas.openxmlformats.org/officeDocument/2006/relationships/hyperlink" Target="https://eur-lex.europa.eu/legal-content/EN/TXT/?uri=CELEX%3A32018R0848" TargetMode="External"/><Relationship Id="rId41" Type="http://schemas.openxmlformats.org/officeDocument/2006/relationships/hyperlink" Target="https://narodne-novine.nn.hr/clanci/sluzbeni/2018_07_62_1292.html" TargetMode="External"/><Relationship Id="rId83" Type="http://schemas.openxmlformats.org/officeDocument/2006/relationships/hyperlink" Target="https://ec.europa.eu/agriculture/eambrosia/geographical-indications-register/" TargetMode="External"/><Relationship Id="rId179" Type="http://schemas.openxmlformats.org/officeDocument/2006/relationships/hyperlink" Target="https://ec.europa.eu/agriculture/eambrosia/geographical-indications-register/" TargetMode="External"/><Relationship Id="rId386" Type="http://schemas.openxmlformats.org/officeDocument/2006/relationships/hyperlink" Target="https://www.fao.org/fao-who-codexalimentarius/sh-proxy/en/?lnk=1&amp;url=https%253A%252F%252Fworkspace.fao.org%252Fsites%252Fcodex%252FStandards%252FCXS%2B197-1995%252FCXS_197e.pdf" TargetMode="External"/><Relationship Id="rId551" Type="http://schemas.openxmlformats.org/officeDocument/2006/relationships/hyperlink" Target="https://read.oecd-ilibrary.org/agriculture-and-food/early-and-ware-potatoes_9789264068391-en-fr" TargetMode="External"/><Relationship Id="rId593" Type="http://schemas.openxmlformats.org/officeDocument/2006/relationships/hyperlink" Target="https://read.oecd-ilibrary.org/agriculture-and-food/international-standards-for-fruit-and-vegetables_9789264116351-en-fr" TargetMode="External"/><Relationship Id="rId607" Type="http://schemas.openxmlformats.org/officeDocument/2006/relationships/hyperlink" Target="https://www.oecd.org/agriculture/fruit-vegetables/publications/brochures/oecd-explanatory-brochure-on-bananas-brochure-interpretative-ocde-pour-les-bananes.pdf" TargetMode="External"/><Relationship Id="rId649" Type="http://schemas.openxmlformats.org/officeDocument/2006/relationships/hyperlink" Target="https://read.oecd-ilibrary.org/agriculture-and-food/chinese-cabbage_9789264248694-en-fr" TargetMode="External"/><Relationship Id="rId814" Type="http://schemas.openxmlformats.org/officeDocument/2006/relationships/hyperlink" Target="https://unece.org/sites/default/files/2024-03/FFV-12_Ribbed_celery_2023_e.pdf" TargetMode="External"/><Relationship Id="rId856" Type="http://schemas.openxmlformats.org/officeDocument/2006/relationships/hyperlink" Target="https://unece.org/sites/default/files/2024-03/FFV-23_Melons_2023_e.pdf" TargetMode="External"/><Relationship Id="rId190" Type="http://schemas.openxmlformats.org/officeDocument/2006/relationships/hyperlink" Target="https://ec.europa.eu/agriculture/eambrosia/geographical-indications-register/" TargetMode="External"/><Relationship Id="rId204" Type="http://schemas.openxmlformats.org/officeDocument/2006/relationships/hyperlink" Target="https://ec.europa.eu/agriculture/eambrosia/geographical-indications-register/" TargetMode="External"/><Relationship Id="rId246" Type="http://schemas.openxmlformats.org/officeDocument/2006/relationships/hyperlink" Target="https://ec.europa.eu/agriculture/eambrosia/geographical-indications-register/" TargetMode="External"/><Relationship Id="rId288" Type="http://schemas.openxmlformats.org/officeDocument/2006/relationships/hyperlink" Target="https://it.usembassy.gov/wp-content/uploads/sites/67/Food-and-Agricultural-Import-Regulations-and-Standards-Country-Report_Rome_Italy_12-31-2021-5.pdf" TargetMode="External"/><Relationship Id="rId411" Type="http://schemas.openxmlformats.org/officeDocument/2006/relationships/hyperlink" Target="https://www.fao.org/fao-who-codexalimentarius/sh-proxy/en/?lnk=1&amp;url=https%253A%252F%252Fworkspace.fao.org%252Fsites%252Fcodex%252FStandards%252FCXS%2B98-1981%252FCXS_098e.pdf" TargetMode="External"/><Relationship Id="rId453" Type="http://schemas.openxmlformats.org/officeDocument/2006/relationships/hyperlink" Target="https://www.fao.org/fao-who-codexalimentarius/sh-proxy/en/?lnk=1&amp;url=https%253A%252F%252Fworkspace.fao.org%252Fsites%252Fcodex%252FStandards%252FCXS%2B320-2015%252FCXS_320e.pdf" TargetMode="External"/><Relationship Id="rId509" Type="http://schemas.openxmlformats.org/officeDocument/2006/relationships/hyperlink" Target="https://read.oecd-ilibrary.org/agriculture-and-food/melons_9789264213289-en-fr" TargetMode="External"/><Relationship Id="rId660" Type="http://schemas.openxmlformats.org/officeDocument/2006/relationships/hyperlink" Target="https://read.oecd-ilibrary.org/agriculture-and-food/cherries_9789264248625-en-fr" TargetMode="External"/><Relationship Id="rId898" Type="http://schemas.openxmlformats.org/officeDocument/2006/relationships/hyperlink" Target="https://eur-lex.europa.eu/legal-content/EN/TXT/?uri=CELEX%3A02011R0543-20221024&amp;qid=1681464333326" TargetMode="External"/><Relationship Id="rId106" Type="http://schemas.openxmlformats.org/officeDocument/2006/relationships/hyperlink" Target="https://www.inao.gouv.fr/produit/3443" TargetMode="External"/><Relationship Id="rId313" Type="http://schemas.openxmlformats.org/officeDocument/2006/relationships/hyperlink" Target="https://www.agriconfiance.coop/" TargetMode="External"/><Relationship Id="rId495" Type="http://schemas.openxmlformats.org/officeDocument/2006/relationships/hyperlink" Target="https://www.oecd-ilibrary.org/docserver/f9210db0-en-fr.pdf?expires=1714684643&amp;id=id&amp;accname=guest&amp;checksum=FF14B51CAE784302E24CB710A213E6FB" TargetMode="External"/><Relationship Id="rId716" Type="http://schemas.openxmlformats.org/officeDocument/2006/relationships/hyperlink" Target="https://unece.org/sites/default/files/2024-03/FFV-47_Annonas_2023_e.pdf" TargetMode="External"/><Relationship Id="rId758" Type="http://schemas.openxmlformats.org/officeDocument/2006/relationships/hyperlink" Target="https://unece.org/sites/default/files/2024-03/FFV-61_Chilli_peppers_2023_e.pdf" TargetMode="External"/><Relationship Id="rId923" Type="http://schemas.openxmlformats.org/officeDocument/2006/relationships/hyperlink" Target="https://eur-lex.europa.eu/legal-content/EN/TXT/?uri=CELEX%3A02011R0543-20221024&amp;qid=1681464333326" TargetMode="External"/><Relationship Id="rId965" Type="http://schemas.openxmlformats.org/officeDocument/2006/relationships/hyperlink" Target="https://eur-lex.europa.eu/eli/reg/2024/1143/oj" TargetMode="External"/><Relationship Id="rId10" Type="http://schemas.openxmlformats.org/officeDocument/2006/relationships/hyperlink" Target="https://bfsa.egov.bg/wps/wcm/connect/bfsa.egov.bg19113/947d5cd7-c522-4cd1-9871-d8d399f5f450/NAREDBA___6_ot_5052011_g_za_specifichnite_iziskvaniq_pri_osashtestvqvane_na_oficialniq_kontrol_va.pdf?MOD=AJPERES&amp;CVID=obJOhw9" TargetMode="External"/><Relationship Id="rId52" Type="http://schemas.openxmlformats.org/officeDocument/2006/relationships/hyperlink" Target="https://www.politicheagricole.it/flex/cm/pages/ServeBLOB.php/L/IT/IDPagina/12462" TargetMode="External"/><Relationship Id="rId94" Type="http://schemas.openxmlformats.org/officeDocument/2006/relationships/hyperlink" Target="https://ec.europa.eu/agriculture/eambrosia/geographical-indications-register/" TargetMode="External"/><Relationship Id="rId148" Type="http://schemas.openxmlformats.org/officeDocument/2006/relationships/hyperlink" Target="https://ec.europa.eu/agriculture/eambrosia/geographical-indications-register/" TargetMode="External"/><Relationship Id="rId355" Type="http://schemas.openxmlformats.org/officeDocument/2006/relationships/hyperlink" Target="https://www.globalgap.org/what-we-offer/solutions/spring/" TargetMode="External"/><Relationship Id="rId397" Type="http://schemas.openxmlformats.org/officeDocument/2006/relationships/hyperlink" Target="https://www.fao.org/fao-who-codexalimentarius/sh-proxy/en/?lnk=1&amp;url=https%253A%252F%252Fworkspace.fao.org%252Fsites%252Fcodex%252FStandards%252FCXS%2B299-2010%252FCXS_299e.pdf" TargetMode="External"/><Relationship Id="rId520" Type="http://schemas.openxmlformats.org/officeDocument/2006/relationships/hyperlink" Target="https://read.oecd-ilibrary.org/agriculture-and-food/onions_9789264175082-en-fr" TargetMode="External"/><Relationship Id="rId562" Type="http://schemas.openxmlformats.org/officeDocument/2006/relationships/hyperlink" Target="https://read.oecd-ilibrary.org/agriculture-and-food/shallots_9789264213265-en-fr" TargetMode="External"/><Relationship Id="rId618" Type="http://schemas.openxmlformats.org/officeDocument/2006/relationships/hyperlink" Target="https://www.oecd.org/agriculture/fruit-vegetables/publications/brochures/oecd-explanatory-brochure-on-bananas-brochure-interpretative-ocde-pour-les-bananes.pdf" TargetMode="External"/><Relationship Id="rId825" Type="http://schemas.openxmlformats.org/officeDocument/2006/relationships/hyperlink" Target="https://unece.org/sites/default/files/2024-03/FFV-53_Truffles_2023_e.pdf" TargetMode="External"/><Relationship Id="rId215" Type="http://schemas.openxmlformats.org/officeDocument/2006/relationships/hyperlink" Target="https://ec.europa.eu/agriculture/eambrosia/geographical-indications-register/" TargetMode="External"/><Relationship Id="rId257" Type="http://schemas.openxmlformats.org/officeDocument/2006/relationships/hyperlink" Target="https://ec.europa.eu/agriculture/eambrosia/geographical-indications-register/" TargetMode="External"/><Relationship Id="rId422" Type="http://schemas.openxmlformats.org/officeDocument/2006/relationships/hyperlink" Target="https://www.fao.org/fao-who-codexalimentarius/sh-proxy/en/?lnk=1&amp;url=https%253A%252F%252Fworkspace.fao.org%252Fsites%252Fcodex%252FStandards%252FCXS%2B198-1995%252FCXS_198e.pdf" TargetMode="External"/><Relationship Id="rId464" Type="http://schemas.openxmlformats.org/officeDocument/2006/relationships/hyperlink" Target="https://read.oecd-ilibrary.org/agriculture-and-food/fresh-figs_9789264234086-en-fr" TargetMode="External"/><Relationship Id="rId867" Type="http://schemas.openxmlformats.org/officeDocument/2006/relationships/hyperlink" Target="https://www.oecd.org/en/topics/oecd-standards-for-agriculture.html" TargetMode="External"/><Relationship Id="rId299" Type="http://schemas.openxmlformats.org/officeDocument/2006/relationships/hyperlink" Target="https://www.belbeef.be/de-belbeef-standaard" TargetMode="External"/><Relationship Id="rId727" Type="http://schemas.openxmlformats.org/officeDocument/2006/relationships/hyperlink" Target="https://unece.org/sites/default/files/2023-12/FFV11_Cauliflowers_2023_e.pdf" TargetMode="External"/><Relationship Id="rId934" Type="http://schemas.openxmlformats.org/officeDocument/2006/relationships/hyperlink" Target="https://eur-lex.europa.eu/legal-content/EN/TXT/?uri=CELEX%3A02011R0543-20221024&amp;qid=1681464333326" TargetMode="External"/><Relationship Id="rId63" Type="http://schemas.openxmlformats.org/officeDocument/2006/relationships/hyperlink" Target="https://legislation.mt/eli/sl/449.15/20100722/eng" TargetMode="External"/><Relationship Id="rId159" Type="http://schemas.openxmlformats.org/officeDocument/2006/relationships/hyperlink" Target="https://ec.europa.eu/agriculture/eambrosia/geographical-indications-register/" TargetMode="External"/><Relationship Id="rId366" Type="http://schemas.openxmlformats.org/officeDocument/2006/relationships/hyperlink" Target="https://www.siegelklarheit.de/en/fair-labor-association-fla-5" TargetMode="External"/><Relationship Id="rId573" Type="http://schemas.openxmlformats.org/officeDocument/2006/relationships/hyperlink" Target="https://read.oecd-ilibrary.org/agriculture-and-food/watermelons_9789264178960-en-fr" TargetMode="External"/><Relationship Id="rId780" Type="http://schemas.openxmlformats.org/officeDocument/2006/relationships/hyperlink" Target="https://unece.org/sites/default/files/2023-12/FFV-58_Leafy_vegetables_2023_e.pdf" TargetMode="External"/><Relationship Id="rId226" Type="http://schemas.openxmlformats.org/officeDocument/2006/relationships/hyperlink" Target="https://ec.europa.eu/agriculture/eambrosia/geographical-indications-register/" TargetMode="External"/><Relationship Id="rId433" Type="http://schemas.openxmlformats.org/officeDocument/2006/relationships/hyperlink" Target="https://www.fao.org/fao-who-codexalimentarius/sh-proxy/en/?lnk=1&amp;url=https%253A%252F%252Fworkspace.fao.org%252Fsites%252Fcodex%252FStandards%252FCXS%2B146-1985%252FCXS_146e.pdf" TargetMode="External"/><Relationship Id="rId878" Type="http://schemas.openxmlformats.org/officeDocument/2006/relationships/hyperlink" Target="https://eur-lex.europa.eu/legal-content/EN/TXT/?uri=CELEX%3A02011R0543-20221024&amp;qid=1681464333326" TargetMode="External"/><Relationship Id="rId640" Type="http://schemas.openxmlformats.org/officeDocument/2006/relationships/hyperlink" Target="https://read.oecd-ilibrary.org/agriculture-and-food/carrots_9789264081871-en-fr" TargetMode="External"/><Relationship Id="rId738" Type="http://schemas.openxmlformats.org/officeDocument/2006/relationships/hyperlink" Target="https://unece.org/sites/default/files/2024-03/FFV-55_Chanterelles_2023_e.pdf" TargetMode="External"/><Relationship Id="rId945" Type="http://schemas.openxmlformats.org/officeDocument/2006/relationships/hyperlink" Target="https://eur-lex.europa.eu/legal-content/EN/TXT/?uri=CELEX%3A02011R0543-20221024&amp;qid=1681464333326" TargetMode="External"/><Relationship Id="rId74" Type="http://schemas.openxmlformats.org/officeDocument/2006/relationships/hyperlink" Target="https://ec.europa.eu/agriculture/eambrosia/geographical-indications-register/" TargetMode="External"/><Relationship Id="rId377" Type="http://schemas.openxmlformats.org/officeDocument/2006/relationships/hyperlink" Target="https://www.fao.org/fao-who-codexalimentarius/sh-proxy/en/?lnk=1&amp;url=https%253A%252F%252Fworkspace.fao.org%252Fsites%252Fcodex%252FStandards%252FCXS%2B67-1981%252FCXS_067e.pdf" TargetMode="External"/><Relationship Id="rId500" Type="http://schemas.openxmlformats.org/officeDocument/2006/relationships/hyperlink" Target="https://www.oecd-ilibrary.org/docserver/f9210db0-en-fr.pdf?expires=1714684643&amp;id=id&amp;accname=guest&amp;checksum=FF14B51CAE784302E24CB710A213E6FB" TargetMode="External"/><Relationship Id="rId584" Type="http://schemas.openxmlformats.org/officeDocument/2006/relationships/hyperlink" Target="https://www.oecd.org/agriculture/fruit-vegetables/publications/brochures/apricots-9789264084902-en-fr.htm" TargetMode="External"/><Relationship Id="rId805" Type="http://schemas.openxmlformats.org/officeDocument/2006/relationships/hyperlink" Target="https://unece.org/sites/default/files/2024-03/FFV-62_Quince_2023_e.pdf" TargetMode="External"/><Relationship Id="rId5" Type="http://schemas.openxmlformats.org/officeDocument/2006/relationships/hyperlink" Target="https://bds-bg.org/bg/project/show/bds:proj:117587" TargetMode="External"/><Relationship Id="rId237" Type="http://schemas.openxmlformats.org/officeDocument/2006/relationships/hyperlink" Target="https://ec.europa.eu/agriculture/eambrosia/geographical-indications-register/" TargetMode="External"/><Relationship Id="rId791" Type="http://schemas.openxmlformats.org/officeDocument/2006/relationships/hyperlink" Target="https://unece.org/sites/default/files/2024-03/FFV-63_Persimmons_2023_e.pdf" TargetMode="External"/><Relationship Id="rId889" Type="http://schemas.openxmlformats.org/officeDocument/2006/relationships/hyperlink" Target="https://eur-lex.europa.eu/legal-content/EN/TXT/?uri=CELEX%3A02011R0543-20221024&amp;qid=1681464333326" TargetMode="External"/><Relationship Id="rId444" Type="http://schemas.openxmlformats.org/officeDocument/2006/relationships/hyperlink" Target="https://www.fao.org/fao-who-codexalimentarius/sh-proxy/en/?lnk=1&amp;url=https%253A%252F%252Fworkspace.fao.org%252Fsites%252Fcodex%252FStandards%252FCXS%2B319-2015%252FCXS_319e.pdf" TargetMode="External"/><Relationship Id="rId651" Type="http://schemas.openxmlformats.org/officeDocument/2006/relationships/hyperlink" Target="https://read.oecd-ilibrary.org/agriculture-and-food/chicory_cf4b9857-en-fr" TargetMode="External"/><Relationship Id="rId749" Type="http://schemas.openxmlformats.org/officeDocument/2006/relationships/hyperlink" Target="https://unece.org/sites/default/files/2024-03/FFV-54_Ceps_2023_e.pdf" TargetMode="External"/><Relationship Id="rId290" Type="http://schemas.openxmlformats.org/officeDocument/2006/relationships/hyperlink" Target="https://unece.org/sites/default/files/2024-03/FFV-28_Sweet_peppers_2023_e.pdf" TargetMode="External"/><Relationship Id="rId304" Type="http://schemas.openxmlformats.org/officeDocument/2006/relationships/hyperlink" Target="https://belpork.be/nl/bepork/" TargetMode="External"/><Relationship Id="rId388" Type="http://schemas.openxmlformats.org/officeDocument/2006/relationships/hyperlink" Target="https://www.fao.org/fao-who-codexalimentarius/sh-proxy/en/?lnk=1&amp;url=https%253A%252F%252Fworkspace.fao.org%252Fsites%252Fcodex%252FStandards%252FCXS%2B214-1999%252FCXS_214e.pdf" TargetMode="External"/><Relationship Id="rId511" Type="http://schemas.openxmlformats.org/officeDocument/2006/relationships/hyperlink" Target="https://read.oecd-ilibrary.org/agriculture-and-food/melons_9789264213289-en-fr" TargetMode="External"/><Relationship Id="rId609" Type="http://schemas.openxmlformats.org/officeDocument/2006/relationships/hyperlink" Target="https://www.oecd.org/agriculture/fruit-vegetables/publications/brochures/oecd-explanatory-brochure-on-bananas-brochure-interpretative-ocde-pour-les-bananes.pdf" TargetMode="External"/><Relationship Id="rId956" Type="http://schemas.openxmlformats.org/officeDocument/2006/relationships/hyperlink" Target="https://eur-lex.europa.eu/legal-content/EN/ALL/?uri=celex%3A32005R0396" TargetMode="External"/><Relationship Id="rId85" Type="http://schemas.openxmlformats.org/officeDocument/2006/relationships/hyperlink" Target="https://ec.europa.eu/agriculture/eambrosia/geographical-indications-register/" TargetMode="External"/><Relationship Id="rId150" Type="http://schemas.openxmlformats.org/officeDocument/2006/relationships/hyperlink" Target="https://ec.europa.eu/agriculture/eambrosia/geographical-indications-register/" TargetMode="External"/><Relationship Id="rId595" Type="http://schemas.openxmlformats.org/officeDocument/2006/relationships/hyperlink" Target="https://read.oecd-ilibrary.org/agriculture-and-food/international-standards-for-fruit-and-vegetables_9789264116351-en-fr" TargetMode="External"/><Relationship Id="rId816" Type="http://schemas.openxmlformats.org/officeDocument/2006/relationships/hyperlink" Target="https://unece.org/sites/default/files/2024-03/FFV-12_Ribbed_celery_2023_e.pdf" TargetMode="External"/><Relationship Id="rId248" Type="http://schemas.openxmlformats.org/officeDocument/2006/relationships/hyperlink" Target="https://ec.europa.eu/agriculture/eambrosia/geographical-indications-register/" TargetMode="External"/><Relationship Id="rId455" Type="http://schemas.openxmlformats.org/officeDocument/2006/relationships/hyperlink" Target="https://www.fao.org/fao-who-codexalimentarius/sh-proxy/en/?lnk=1&amp;url=https%253A%252F%252Fworkspace.fao.org%252Fsites%252Fcodex%252FStandards%252FCXS%2B165-1989%252FCXS_165e.pdf" TargetMode="External"/><Relationship Id="rId662" Type="http://schemas.openxmlformats.org/officeDocument/2006/relationships/hyperlink" Target="https://read.oecd-ilibrary.org/agriculture-and-food/cherries_9789264248625-en-fr" TargetMode="External"/><Relationship Id="rId12" Type="http://schemas.openxmlformats.org/officeDocument/2006/relationships/hyperlink" Target="https://bfsa.egov.bg/wps/wcm/connect/bfsa.egov.bg19113/3690d970-60fc-4001-9b6a-88754c5e8884/naredba_za_iziskvanijata_kam_barzo_zamrazenite_hrani.pdf?MOD=AJPERES&amp;CVID=obfZjhQ" TargetMode="External"/><Relationship Id="rId108" Type="http://schemas.openxmlformats.org/officeDocument/2006/relationships/hyperlink" Target="https://www.inao.gouv.fr/Archives-des-actualites-de-l-INAO/L-IGP-pour-le-chapon-et-la-poularde-du-Perigord" TargetMode="External"/><Relationship Id="rId315" Type="http://schemas.openxmlformats.org/officeDocument/2006/relationships/hyperlink" Target="https://www.auchan.fr/produits-auchan/nos-engagements-auchan/auchan-filieres-responsables/ca-b202213091626?page=2" TargetMode="External"/><Relationship Id="rId522" Type="http://schemas.openxmlformats.org/officeDocument/2006/relationships/hyperlink" Target="https://www.oecd.org/agriculture/fruit-vegetables/publications/brochures/Brochure%20Passion%20Fruit%202023%20interactif%20%20%20Fiches%20V2.pdf" TargetMode="External"/><Relationship Id="rId967" Type="http://schemas.openxmlformats.org/officeDocument/2006/relationships/hyperlink" Target="https://www.dgrm.pt/documents/20143/46482/Portaria+255-2022+Tamanhos+m%C3%ADnimos.pdf/0a33a10a-f393-d561-ab46-33470129c231" TargetMode="External"/><Relationship Id="rId96" Type="http://schemas.openxmlformats.org/officeDocument/2006/relationships/hyperlink" Target="https://ec.europa.eu/agriculture/eambrosia/geographical-indications-register/" TargetMode="External"/><Relationship Id="rId161" Type="http://schemas.openxmlformats.org/officeDocument/2006/relationships/hyperlink" Target="https://ec.europa.eu/agriculture/eambrosia/geographical-indications-register/" TargetMode="External"/><Relationship Id="rId399" Type="http://schemas.openxmlformats.org/officeDocument/2006/relationships/hyperlink" Target="https://www.fao.org/fao-who-codexalimentarius/sh-proxy/en/?lnk=1&amp;url=https%253A%252F%252Fworkspace.fao.org%252Fsites%252Fcodex%252FStandards%252FCXS%2B307-2011%252FCXS_307e.pdf" TargetMode="External"/><Relationship Id="rId827" Type="http://schemas.openxmlformats.org/officeDocument/2006/relationships/hyperlink" Target="https://unece.org/sites/default/files/2024-03/FFV-53_Truffles_2023_e.pdf" TargetMode="External"/><Relationship Id="rId259" Type="http://schemas.openxmlformats.org/officeDocument/2006/relationships/hyperlink" Target="https://ec.europa.eu/agriculture/eambrosia/geographical-indications-register/" TargetMode="External"/><Relationship Id="rId466" Type="http://schemas.openxmlformats.org/officeDocument/2006/relationships/hyperlink" Target="https://read.oecd-ilibrary.org/agriculture-and-food/fresh-figs_9789264234086-en-fr" TargetMode="External"/><Relationship Id="rId673" Type="http://schemas.openxmlformats.org/officeDocument/2006/relationships/hyperlink" Target="https://read.oecd-ilibrary.org/agriculture-and-food/cucumbers_9789264045262-en-fr" TargetMode="External"/><Relationship Id="rId880" Type="http://schemas.openxmlformats.org/officeDocument/2006/relationships/hyperlink" Target="https://eur-lex.europa.eu/legal-content/EN/TXT/?uri=CELEX%3A02011R0543-20221024&amp;qid=1681464333326" TargetMode="External"/><Relationship Id="rId23" Type="http://schemas.openxmlformats.org/officeDocument/2006/relationships/hyperlink" Target="https://pisrs.si/Prevodi/EN-2016-01-3141-2014-01-3434-npb1.doc" TargetMode="External"/><Relationship Id="rId119" Type="http://schemas.openxmlformats.org/officeDocument/2006/relationships/hyperlink" Target="https://ec.europa.eu/agriculture/eambrosia/geographical-indications-register/" TargetMode="External"/><Relationship Id="rId326" Type="http://schemas.openxmlformats.org/officeDocument/2006/relationships/hyperlink" Target="https://sweetpoint.nl/nl/duurzaam/milieukeur/" TargetMode="External"/><Relationship Id="rId533" Type="http://schemas.openxmlformats.org/officeDocument/2006/relationships/hyperlink" Target="https://www.oecd-ilibrary.org/docserver/dda2dfce-en-fr.pdf?expires=1714684906&amp;id=id&amp;accname=guest&amp;checksum=F9E18B0470BCBB1240457C7D3BA41C20" TargetMode="External"/><Relationship Id="rId740" Type="http://schemas.openxmlformats.org/officeDocument/2006/relationships/hyperlink" Target="https://unece.org/sites/default/files/2023-12/FFV-65_Certain_small_fruits_2023_e_0.pdf" TargetMode="External"/><Relationship Id="rId838" Type="http://schemas.openxmlformats.org/officeDocument/2006/relationships/hyperlink" Target="https://unece.org/sites/default/files/2024-03/FFV-49_Pineapples_2023_e.pdf" TargetMode="External"/><Relationship Id="rId172" Type="http://schemas.openxmlformats.org/officeDocument/2006/relationships/hyperlink" Target="https://ec.europa.eu/agriculture/eambrosia/geographical-indications-register/" TargetMode="External"/><Relationship Id="rId477" Type="http://schemas.openxmlformats.org/officeDocument/2006/relationships/hyperlink" Target="https://read.oecd-ilibrary.org/agriculture-and-food/inshell-hazelnuts-and-hazelnut-kernels_9789264166721-en-fr" TargetMode="External"/><Relationship Id="rId600" Type="http://schemas.openxmlformats.org/officeDocument/2006/relationships/hyperlink" Target="https://read.oecd-ilibrary.org/agriculture-and-food/avocados_44a6e19b-en-fr-es" TargetMode="External"/><Relationship Id="rId684" Type="http://schemas.openxmlformats.org/officeDocument/2006/relationships/hyperlink" Target="https://unece.org/sites/default/files/2024-03/FFV-57_Berry_fruits_2023_e.pdf" TargetMode="External"/><Relationship Id="rId337" Type="http://schemas.openxmlformats.org/officeDocument/2006/relationships/hyperlink" Target="https://www.ccpb.it/blog/certificazione/sqnpi-sistema-qualita-nazionale-produzione-integrata/" TargetMode="External"/><Relationship Id="rId891" Type="http://schemas.openxmlformats.org/officeDocument/2006/relationships/hyperlink" Target="https://eur-lex.europa.eu/legal-content/EN/TXT/?uri=CELEX%3A02011R0543-20221024&amp;qid=1681464333326" TargetMode="External"/><Relationship Id="rId905" Type="http://schemas.openxmlformats.org/officeDocument/2006/relationships/hyperlink" Target="https://eur-lex.europa.eu/legal-content/EN/TXT/?uri=CELEX%3A02011R0543-20221024&amp;qid=1681464333326" TargetMode="External"/><Relationship Id="rId34" Type="http://schemas.openxmlformats.org/officeDocument/2006/relationships/hyperlink" Target="https://pisrs.si/pregledPredpisa?id=PRAV11392" TargetMode="External"/><Relationship Id="rId544" Type="http://schemas.openxmlformats.org/officeDocument/2006/relationships/hyperlink" Target="https://read.oecd-ilibrary.org/agriculture-and-food/pomegranate_9789264206700-en-fr" TargetMode="External"/><Relationship Id="rId751" Type="http://schemas.openxmlformats.org/officeDocument/2006/relationships/hyperlink" Target="https://unece.org/sites/default/files/2024-03/FFV-54_Ceps_2023_e.pdf" TargetMode="External"/><Relationship Id="rId849" Type="http://schemas.openxmlformats.org/officeDocument/2006/relationships/hyperlink" Target="https://unece.org/sites/default/files/2024-03/FFV-40_Rhubarb_2023_e.pdf" TargetMode="External"/><Relationship Id="rId183" Type="http://schemas.openxmlformats.org/officeDocument/2006/relationships/hyperlink" Target="https://ec.europa.eu/agriculture/eambrosia/geographical-indications-register/" TargetMode="External"/><Relationship Id="rId390" Type="http://schemas.openxmlformats.org/officeDocument/2006/relationships/hyperlink" Target="https://www.fao.org/fao-who-codexalimentarius/sh-proxy/en/?lnk=1&amp;url=https%253A%252F%252Fworkspace.fao.org%252Fsites%252Fcodex%252FStandards%252FCXS%2B219-1999%252FCXS_219e.pdf" TargetMode="External"/><Relationship Id="rId404" Type="http://schemas.openxmlformats.org/officeDocument/2006/relationships/hyperlink" Target="https://www.fao.org/fao-who-codexalimentarius/sh-proxy/en/?lnk=1&amp;url=https%253A%252F%252Fworkspace.fao.org%252Fsites%252Fcodex%252FStandards%252FCXS%2B338-2020%252FCXS_338e.pdf" TargetMode="External"/><Relationship Id="rId611" Type="http://schemas.openxmlformats.org/officeDocument/2006/relationships/hyperlink" Target="https://www.oecd.org/agriculture/fruit-vegetables/publications/brochures/oecd-explanatory-brochure-on-bananas-brochure-interpretative-ocde-pour-les-bananes.pdf" TargetMode="External"/><Relationship Id="rId250" Type="http://schemas.openxmlformats.org/officeDocument/2006/relationships/hyperlink" Target="https://ec.europa.eu/agriculture/eambrosia/geographical-indications-register/" TargetMode="External"/><Relationship Id="rId488" Type="http://schemas.openxmlformats.org/officeDocument/2006/relationships/hyperlink" Target="https://www.oecd-ilibrary.org/docserver/dbf45fde-en-fr.pdf?expires=1714684486&amp;id=id&amp;accname=guest&amp;checksum=8EBA4104DBC1C842B5F0A1AF67690B23" TargetMode="External"/><Relationship Id="rId695" Type="http://schemas.openxmlformats.org/officeDocument/2006/relationships/hyperlink" Target="https://unece.org/sites/default/files/2024-03/FFV-08_Brussels_sprouts_2023_e.pdf" TargetMode="External"/><Relationship Id="rId709" Type="http://schemas.openxmlformats.org/officeDocument/2006/relationships/hyperlink" Target="https://unece.org/sites/default/files/2024-03/FFV-03_Artichokes_2023_e.pdf" TargetMode="External"/><Relationship Id="rId916" Type="http://schemas.openxmlformats.org/officeDocument/2006/relationships/hyperlink" Target="https://eur-lex.europa.eu/legal-content/EN/TXT/?uri=CELEX%3A02011R0543-20221024&amp;qid=1681464333326" TargetMode="External"/><Relationship Id="rId45" Type="http://schemas.openxmlformats.org/officeDocument/2006/relationships/hyperlink" Target="https://www.fsai.ie/enforcement-and-legislation/legislation/food-legislation/meat-fresh-meat/labelling-of-beef-and-beef-products" TargetMode="External"/><Relationship Id="rId110" Type="http://schemas.openxmlformats.org/officeDocument/2006/relationships/hyperlink" Target="https://www.inao.gouv.fr/show_texte/4276" TargetMode="External"/><Relationship Id="rId348" Type="http://schemas.openxmlformats.org/officeDocument/2006/relationships/hyperlink" Target="https://www.marin-trust.com/" TargetMode="External"/><Relationship Id="rId555" Type="http://schemas.openxmlformats.org/officeDocument/2006/relationships/hyperlink" Target="https://read.oecd-ilibrary.org/agriculture-and-food/early-and-ware-potatoes_9789264068391-en-fr" TargetMode="External"/><Relationship Id="rId762" Type="http://schemas.openxmlformats.org/officeDocument/2006/relationships/hyperlink" Target="https://unece.org/sites/default/files/2024-03/FFV-61_Chilli_peppers_2023_e.pdf" TargetMode="External"/><Relationship Id="rId194" Type="http://schemas.openxmlformats.org/officeDocument/2006/relationships/hyperlink" Target="https://ec.europa.eu/agriculture/eambrosia/geographical-indications-register/" TargetMode="External"/><Relationship Id="rId208" Type="http://schemas.openxmlformats.org/officeDocument/2006/relationships/hyperlink" Target="https://ec.europa.eu/agriculture/eambrosia/geographical-indications-register/" TargetMode="External"/><Relationship Id="rId415" Type="http://schemas.openxmlformats.org/officeDocument/2006/relationships/hyperlink" Target="https://www.fao.org/fao-who-codexalimentarius/sh-proxy/en/?lnk=1&amp;url=https%253A%252F%252Fworkspace.fao.org%252Fsites%252Fcodex%252FStandards%252FCXS%2B155-1985%252FCXS_155e.pdf" TargetMode="External"/><Relationship Id="rId622" Type="http://schemas.openxmlformats.org/officeDocument/2006/relationships/hyperlink" Target="https://read.oecd-ilibrary.org/agriculture-and-food/beans_0bc40eec-en-fr" TargetMode="External"/><Relationship Id="rId261" Type="http://schemas.openxmlformats.org/officeDocument/2006/relationships/hyperlink" Target="https://ec.europa.eu/agriculture/eambrosia/geographical-indications-register/" TargetMode="External"/><Relationship Id="rId499" Type="http://schemas.openxmlformats.org/officeDocument/2006/relationships/hyperlink" Target="https://www.oecd-ilibrary.org/docserver/f9210db0-en-fr.pdf?expires=1714684643&amp;id=id&amp;accname=guest&amp;checksum=FF14B51CAE784302E24CB710A213E6FB" TargetMode="External"/><Relationship Id="rId927" Type="http://schemas.openxmlformats.org/officeDocument/2006/relationships/hyperlink" Target="https://eur-lex.europa.eu/legal-content/EN/TXT/?uri=CELEX%3A02011R0543-20221024&amp;qid=1681464333326" TargetMode="External"/><Relationship Id="rId56" Type="http://schemas.openxmlformats.org/officeDocument/2006/relationships/hyperlink" Target="https://www.gov.pl/web/rolnictwo/produkt-polski1" TargetMode="External"/><Relationship Id="rId359" Type="http://schemas.openxmlformats.org/officeDocument/2006/relationships/hyperlink" Target="https://www.ifs-certification.com/it/" TargetMode="External"/><Relationship Id="rId566" Type="http://schemas.openxmlformats.org/officeDocument/2006/relationships/hyperlink" Target="https://read.oecd-ilibrary.org/agriculture-and-food/shallots_9789264213265-en-fr" TargetMode="External"/><Relationship Id="rId773" Type="http://schemas.openxmlformats.org/officeDocument/2006/relationships/hyperlink" Target="https://unece.org/sites/default/files/2024-03/FFV-16_Fennel_2023_e.pdf" TargetMode="External"/><Relationship Id="rId121" Type="http://schemas.openxmlformats.org/officeDocument/2006/relationships/hyperlink" Target="https://ec.europa.eu/agriculture/eambrosia/geographical-indications-register/" TargetMode="External"/><Relationship Id="rId219" Type="http://schemas.openxmlformats.org/officeDocument/2006/relationships/hyperlink" Target="https://ec.europa.eu/agriculture/eambrosia/geographical-indications-register/" TargetMode="External"/><Relationship Id="rId426" Type="http://schemas.openxmlformats.org/officeDocument/2006/relationships/hyperlink" Target="https://www.fao.org/fao-who-codexalimentarius/sh-proxy/en/?lnk=1&amp;url=https%253A%252F%252Fworkspace.fao.org%252Fsites%252Fcodex%252FStandards%252FCXS%2B167-1989%252FCXS_167e.pdf" TargetMode="External"/><Relationship Id="rId633" Type="http://schemas.openxmlformats.org/officeDocument/2006/relationships/hyperlink" Target="https://read.oecd-ilibrary.org/agriculture-and-food/broccoli_9789264188822-en-fr" TargetMode="External"/><Relationship Id="rId840" Type="http://schemas.openxmlformats.org/officeDocument/2006/relationships/hyperlink" Target="https://unece.org/sites/default/files/2024-03/FFV-49_Pineapples_2023_e.pdf" TargetMode="External"/><Relationship Id="rId938" Type="http://schemas.openxmlformats.org/officeDocument/2006/relationships/hyperlink" Target="https://eur-lex.europa.eu/legal-content/EN/TXT/?uri=CELEX%3A02011R0543-20221024&amp;qid=1681464333326" TargetMode="External"/><Relationship Id="rId67" Type="http://schemas.openxmlformats.org/officeDocument/2006/relationships/hyperlink" Target="https://unece.org/sites/default/files/2023-07/FFV-MinimumQuality_2020_e.pdf" TargetMode="External"/><Relationship Id="rId272" Type="http://schemas.openxmlformats.org/officeDocument/2006/relationships/hyperlink" Target="https://ec.europa.eu/agriculture/eambrosia/geographical-indications-register/" TargetMode="External"/><Relationship Id="rId577" Type="http://schemas.openxmlformats.org/officeDocument/2006/relationships/hyperlink" Target="https://read.oecd-ilibrary.org/agriculture-and-food/watermelons_9789264178960-en-fr" TargetMode="External"/><Relationship Id="rId700" Type="http://schemas.openxmlformats.org/officeDocument/2006/relationships/hyperlink" Target="https://unece.org/sites/default/files/2024-03/FFV-09_Headed_cabbages_2023_e.pdf" TargetMode="External"/><Relationship Id="rId132" Type="http://schemas.openxmlformats.org/officeDocument/2006/relationships/hyperlink" Target="https://ec.europa.eu/agriculture/eambrosia/geographical-indications-register/" TargetMode="External"/><Relationship Id="rId784" Type="http://schemas.openxmlformats.org/officeDocument/2006/relationships/hyperlink" Target="https://unece.org/sites/default/files/2023-12/FFV-58_Leafy_vegetables_2023_e.pdf" TargetMode="External"/><Relationship Id="rId437" Type="http://schemas.openxmlformats.org/officeDocument/2006/relationships/hyperlink" Target="https://www.fao.org/fao-who-codexalimentarius/sh-proxy/en/?lnk=1&amp;url=https%253A%252F%252Fworkspace.fao.org%252Fsites%252Fcodex%252FStandards%252FCXS%2B78-1981%252FCXS_078e.pdf" TargetMode="External"/><Relationship Id="rId644" Type="http://schemas.openxmlformats.org/officeDocument/2006/relationships/hyperlink" Target="https://read.oecd-ilibrary.org/agriculture-and-food/chinese-cabbage_9789264248694-en-fr" TargetMode="External"/><Relationship Id="rId851" Type="http://schemas.openxmlformats.org/officeDocument/2006/relationships/hyperlink" Target="https://unece.org/sites/default/files/2024-03/FFV-23_Melons_2023_e.pdf" TargetMode="External"/><Relationship Id="rId283" Type="http://schemas.openxmlformats.org/officeDocument/2006/relationships/hyperlink" Target="https://ec.europa.eu/agriculture/eambrosia/geographical-indications-register/" TargetMode="External"/><Relationship Id="rId490" Type="http://schemas.openxmlformats.org/officeDocument/2006/relationships/hyperlink" Target="https://www.oecd-ilibrary.org/docserver/dbf45fde-en-fr.pdf?expires=1714684486&amp;id=id&amp;accname=guest&amp;checksum=8EBA4104DBC1C842B5F0A1AF67690B23" TargetMode="External"/><Relationship Id="rId504" Type="http://schemas.openxmlformats.org/officeDocument/2006/relationships/hyperlink" Target="https://read.oecd-ilibrary.org/agriculture-and-food/melons_9789264213289-en-fr" TargetMode="External"/><Relationship Id="rId711" Type="http://schemas.openxmlformats.org/officeDocument/2006/relationships/hyperlink" Target="https://unece.org/sites/default/files/2024-03/FFV-03_Artichokes_2023_e.pdf" TargetMode="External"/><Relationship Id="rId949" Type="http://schemas.openxmlformats.org/officeDocument/2006/relationships/hyperlink" Target="https://eur-lex.europa.eu/legal-content/en/TXT/?uri=CELEX:32018R0775" TargetMode="External"/><Relationship Id="rId78" Type="http://schemas.openxmlformats.org/officeDocument/2006/relationships/hyperlink" Target="https://ec.europa.eu/agriculture/eambrosia/geographical-indications-register/" TargetMode="External"/><Relationship Id="rId143" Type="http://schemas.openxmlformats.org/officeDocument/2006/relationships/hyperlink" Target="https://ec.europa.eu/agriculture/eambrosia/geographical-indications-register/" TargetMode="External"/><Relationship Id="rId350" Type="http://schemas.openxmlformats.org/officeDocument/2006/relationships/hyperlink" Target="https://www.donausoja.org/" TargetMode="External"/><Relationship Id="rId588" Type="http://schemas.openxmlformats.org/officeDocument/2006/relationships/hyperlink" Target="https://read.oecd-ilibrary.org/agriculture-and-food/international-standards-for-fruit-and-vegetables_9789264116351-en-fr" TargetMode="External"/><Relationship Id="rId795" Type="http://schemas.openxmlformats.org/officeDocument/2006/relationships/hyperlink" Target="https://unece.org/sites/default/files/2024-03/FFV-63_Persimmons_2023_e.pdf" TargetMode="External"/><Relationship Id="rId809" Type="http://schemas.openxmlformats.org/officeDocument/2006/relationships/hyperlink" Target="https://unece.org/sites/default/files/2024-03/FFV-12_Ribbed_celery_2023_e.pdf" TargetMode="External"/><Relationship Id="rId9" Type="http://schemas.openxmlformats.org/officeDocument/2006/relationships/hyperlink" Target="https://bfsa.egov.bg/wps/wcm/connect/bfsa.egov.bg19113/d9c2b3a8-6fa6-469a-a9ae-6c980bfba60e/NAREDBA___3_ot_4062007_g_za_specifichnite_iziskvaniq_kam_materialite_i_predmetite_razlichni_ot_p.pdf?MOD=AJPERES&amp;CVID=obJNx3V" TargetMode="External"/><Relationship Id="rId210" Type="http://schemas.openxmlformats.org/officeDocument/2006/relationships/hyperlink" Target="https://ec.europa.eu/agriculture/eambrosia/geographical-indications-register/" TargetMode="External"/><Relationship Id="rId448" Type="http://schemas.openxmlformats.org/officeDocument/2006/relationships/hyperlink" Target="https://www.fao.org/fao-who-codexalimentarius/sh-proxy/en/?lnk=1&amp;url=https%253A%252F%252Fworkspace.fao.org%252Fsites%252Fcodex%252FStandards%252FCXS%2B94-1981%252FCXS_094e.pdf" TargetMode="External"/><Relationship Id="rId655" Type="http://schemas.openxmlformats.org/officeDocument/2006/relationships/hyperlink" Target="https://read.oecd-ilibrary.org/agriculture-and-food/chicory_cf4b9857-en-fr" TargetMode="External"/><Relationship Id="rId862" Type="http://schemas.openxmlformats.org/officeDocument/2006/relationships/hyperlink" Target="https://unece.org/sites/default/files/2024-03/FFV-60_Lambs_lettuce_2023_e.pdf" TargetMode="External"/><Relationship Id="rId294" Type="http://schemas.openxmlformats.org/officeDocument/2006/relationships/hyperlink" Target="https://unece.org/sites/default/files/2024-03/FFV-14_Citrus_fruit_2023_e.pdf" TargetMode="External"/><Relationship Id="rId308" Type="http://schemas.openxmlformats.org/officeDocument/2006/relationships/hyperlink" Target="https://www.belplume.be/Over-ons.php" TargetMode="External"/><Relationship Id="rId515" Type="http://schemas.openxmlformats.org/officeDocument/2006/relationships/hyperlink" Target="https://read.oecd-ilibrary.org/agriculture-and-food/onions_9789264175082-en-fr" TargetMode="External"/><Relationship Id="rId722" Type="http://schemas.openxmlformats.org/officeDocument/2006/relationships/hyperlink" Target="https://unece.org/sites/default/files/2024-03/FFV-47_Annonas_2023_e.pdf" TargetMode="External"/><Relationship Id="rId89" Type="http://schemas.openxmlformats.org/officeDocument/2006/relationships/hyperlink" Target="https://ec.europa.eu/agriculture/eambrosia/geographical-indications-register/" TargetMode="External"/><Relationship Id="rId154" Type="http://schemas.openxmlformats.org/officeDocument/2006/relationships/hyperlink" Target="https://ec.europa.eu/agriculture/eambrosia/geographical-indications-register/" TargetMode="External"/><Relationship Id="rId361" Type="http://schemas.openxmlformats.org/officeDocument/2006/relationships/hyperlink" Target="https://www.salmar.no/en/sustainability/certifications/" TargetMode="External"/><Relationship Id="rId599" Type="http://schemas.openxmlformats.org/officeDocument/2006/relationships/hyperlink" Target="https://read.oecd-ilibrary.org/agriculture-and-food/avocados_44a6e19b-en-fr-es" TargetMode="External"/><Relationship Id="rId459" Type="http://schemas.openxmlformats.org/officeDocument/2006/relationships/hyperlink" Target="https://www.oecd.org/en/topics/oecd-standards-for-agriculture.html" TargetMode="External"/><Relationship Id="rId666" Type="http://schemas.openxmlformats.org/officeDocument/2006/relationships/hyperlink" Target="https://read.oecd-ilibrary.org/agriculture-and-food/cherries_9789264248625-en-fr" TargetMode="External"/><Relationship Id="rId873" Type="http://schemas.openxmlformats.org/officeDocument/2006/relationships/hyperlink" Target="https://eur-lex.europa.eu/legal-content/en/ALL/?uri=CELEX%3A32008R0543" TargetMode="External"/><Relationship Id="rId16" Type="http://schemas.openxmlformats.org/officeDocument/2006/relationships/hyperlink" Target="https://wetten.overheid.nl/BWBR0022543/2023-10-14" TargetMode="External"/><Relationship Id="rId221" Type="http://schemas.openxmlformats.org/officeDocument/2006/relationships/hyperlink" Target="https://ec.europa.eu/agriculture/eambrosia/geographical-indications-register/" TargetMode="External"/><Relationship Id="rId319" Type="http://schemas.openxmlformats.org/officeDocument/2006/relationships/hyperlink" Target="https://www.flandersfruitsandvegetables.com/en/flandria" TargetMode="External"/><Relationship Id="rId526" Type="http://schemas.openxmlformats.org/officeDocument/2006/relationships/hyperlink" Target="https://www.oecd.org/agriculture/fruit-vegetables/publications/brochures/Brochure%20Passion%20Fruit%202023%20interactif%20%20%20Fiches%20V2.pdf" TargetMode="External"/><Relationship Id="rId733" Type="http://schemas.openxmlformats.org/officeDocument/2006/relationships/hyperlink" Target="https://unece.org/sites/default/files/2024-03/FFV-55_Chanterelles_2023_e.pdf" TargetMode="External"/><Relationship Id="rId940" Type="http://schemas.openxmlformats.org/officeDocument/2006/relationships/hyperlink" Target="https://eur-lex.europa.eu/legal-content/EN/TXT/?uri=CELEX%3A02011R0543-20221024&amp;qid=1681464333326" TargetMode="External"/><Relationship Id="rId165" Type="http://schemas.openxmlformats.org/officeDocument/2006/relationships/hyperlink" Target="https://ec.europa.eu/agriculture/eambrosia/geographical-indications-register/" TargetMode="External"/><Relationship Id="rId372" Type="http://schemas.openxmlformats.org/officeDocument/2006/relationships/hyperlink" Target="https://www.idhsustainabletrade.com/initiative/dutch-initiative-on-sustainable-cocoa-disco/" TargetMode="External"/><Relationship Id="rId677" Type="http://schemas.openxmlformats.org/officeDocument/2006/relationships/hyperlink" Target="https://read.oecd-ilibrary.org/agriculture-and-food/cultivated-mushrooms_9789264013261-en-fr" TargetMode="External"/><Relationship Id="rId800" Type="http://schemas.openxmlformats.org/officeDocument/2006/relationships/hyperlink" Target="https://unece.org/sites/default/files/2024-03/FFV-62_Quince_2023_e.pdf" TargetMode="External"/><Relationship Id="rId232" Type="http://schemas.openxmlformats.org/officeDocument/2006/relationships/hyperlink" Target="https://ec.europa.eu/agriculture/eambrosia/geographical-indications-register/" TargetMode="External"/><Relationship Id="rId884" Type="http://schemas.openxmlformats.org/officeDocument/2006/relationships/hyperlink" Target="https://eur-lex.europa.eu/legal-content/EN/TXT/?uri=CELEX%3A02011R0543-20221024&amp;qid=1681464333326" TargetMode="External"/><Relationship Id="rId27" Type="http://schemas.openxmlformats.org/officeDocument/2006/relationships/hyperlink" Target="https://pisrs.si/pregledPredpisa?id=PRAV6954" TargetMode="External"/><Relationship Id="rId537" Type="http://schemas.openxmlformats.org/officeDocument/2006/relationships/hyperlink" Target="https://www.oecd-ilibrary.org/docserver/dda2dfce-en-fr.pdf?expires=1714684906&amp;id=id&amp;accname=guest&amp;checksum=F9E18B0470BCBB1240457C7D3BA41C20" TargetMode="External"/><Relationship Id="rId744" Type="http://schemas.openxmlformats.org/officeDocument/2006/relationships/hyperlink" Target="https://unece.org/sites/default/files/2023-12/FFV-65_Certain_small_fruits_2023_e_0.pdf" TargetMode="External"/><Relationship Id="rId951" Type="http://schemas.openxmlformats.org/officeDocument/2006/relationships/hyperlink" Target="https://www.greatitalianfoodtrade.it/en/markets/eggs-minimal-variations-to-EU-marketing-standards/" TargetMode="External"/><Relationship Id="rId80" Type="http://schemas.openxmlformats.org/officeDocument/2006/relationships/hyperlink" Target="https://ec.europa.eu/agriculture/eambrosia/geographical-indications-register/" TargetMode="External"/><Relationship Id="rId176" Type="http://schemas.openxmlformats.org/officeDocument/2006/relationships/hyperlink" Target="https://ec.europa.eu/agriculture/eambrosia/geographical-indications-register/" TargetMode="External"/><Relationship Id="rId383" Type="http://schemas.openxmlformats.org/officeDocument/2006/relationships/hyperlink" Target="https://www.fao.org/fao-who-codexalimentarius/sh-proxy/en/?lnk=1&amp;url=https%253A%252F%252Fworkspace.fao.org%252Fsites%252Fcodex%252FStandards%252FCXS%2B186-1993%252FCXS_186e.pdf" TargetMode="External"/><Relationship Id="rId590" Type="http://schemas.openxmlformats.org/officeDocument/2006/relationships/hyperlink" Target="https://read.oecd-ilibrary.org/agriculture-and-food/international-standards-for-fruit-and-vegetables_9789264116351-en-fr" TargetMode="External"/><Relationship Id="rId604" Type="http://schemas.openxmlformats.org/officeDocument/2006/relationships/hyperlink" Target="https://read.oecd-ilibrary.org/agriculture-and-food/avocados_44a6e19b-en-fr-es" TargetMode="External"/><Relationship Id="rId811" Type="http://schemas.openxmlformats.org/officeDocument/2006/relationships/hyperlink" Target="https://unece.org/sites/default/files/2024-03/FFV-12_Ribbed_celery_2023_e.pdf" TargetMode="External"/><Relationship Id="rId243" Type="http://schemas.openxmlformats.org/officeDocument/2006/relationships/hyperlink" Target="https://ec.europa.eu/agriculture/eambrosia/geographical-indications-register/" TargetMode="External"/><Relationship Id="rId450" Type="http://schemas.openxmlformats.org/officeDocument/2006/relationships/hyperlink" Target="https://www.fao.org/fao-who-codexalimentarius/sh-proxy/en/?lnk=1&amp;url=https%253A%252F%252Fworkspace.fao.org%252Fsites%252Fcodex%252FStandards%252FCXS%2B52-1981%252FCXS_052e.pdf" TargetMode="External"/><Relationship Id="rId688" Type="http://schemas.openxmlformats.org/officeDocument/2006/relationships/hyperlink" Target="https://unece.org/sites/default/files/2024-03/FFV-57_Berry_fruits_2023_e.pdf" TargetMode="External"/><Relationship Id="rId895" Type="http://schemas.openxmlformats.org/officeDocument/2006/relationships/hyperlink" Target="https://eur-lex.europa.eu/legal-content/EN/TXT/?uri=CELEX%3A02011R0543-20221024&amp;qid=1681464333326" TargetMode="External"/><Relationship Id="rId909" Type="http://schemas.openxmlformats.org/officeDocument/2006/relationships/hyperlink" Target="https://eur-lex.europa.eu/legal-content/EN/TXT/?uri=CELEX%3A02011R0543-20221024&amp;qid=1681464333326" TargetMode="External"/><Relationship Id="rId38" Type="http://schemas.openxmlformats.org/officeDocument/2006/relationships/hyperlink" Target="https://narodne-novine.nn.hr/clanci/sluzbeni/2014_12_144_2700.html" TargetMode="External"/><Relationship Id="rId103" Type="http://schemas.openxmlformats.org/officeDocument/2006/relationships/hyperlink" Target="https://ec.europa.eu/agriculture/eambrosia/geographical-indications-register/" TargetMode="External"/><Relationship Id="rId310" Type="http://schemas.openxmlformats.org/officeDocument/2006/relationships/hyperlink" Target="https://international.bleu-blanc-coeur.org/international-news/what-is-a-bleu-blanc-coeur-vegetable/" TargetMode="External"/><Relationship Id="rId548" Type="http://schemas.openxmlformats.org/officeDocument/2006/relationships/hyperlink" Target="https://read.oecd-ilibrary.org/agriculture-and-food/early-and-ware-potatoes_9789264068391-en-fr" TargetMode="External"/><Relationship Id="rId755" Type="http://schemas.openxmlformats.org/officeDocument/2006/relationships/hyperlink" Target="https://unece.org/sites/default/files/2024-03/FFV-61_Chilli_peppers_2023_e.pdf" TargetMode="External"/><Relationship Id="rId962" Type="http://schemas.openxmlformats.org/officeDocument/2006/relationships/hyperlink" Target="https://eur-lex.europa.eu/legal-content/EN/TXT/PDF/?uri=CELEX:32014R0653&amp;from=IT" TargetMode="External"/><Relationship Id="rId91" Type="http://schemas.openxmlformats.org/officeDocument/2006/relationships/hyperlink" Target="https://ec.europa.eu/agriculture/eambrosia/geographical-indications-register/" TargetMode="External"/><Relationship Id="rId187" Type="http://schemas.openxmlformats.org/officeDocument/2006/relationships/hyperlink" Target="https://ec.europa.eu/agriculture/eambrosia/geographical-indications-register/" TargetMode="External"/><Relationship Id="rId394" Type="http://schemas.openxmlformats.org/officeDocument/2006/relationships/hyperlink" Target="https://www.fao.org/fao-who-codexalimentarius/sh-proxy/en/?lnk=1&amp;url=https%253A%252F%252Fworkspace.fao.org%252Fsites%252Fcodex%252FStandards%252FCXS%2B245-2004%252FCXS_245e.pdf" TargetMode="External"/><Relationship Id="rId408" Type="http://schemas.openxmlformats.org/officeDocument/2006/relationships/hyperlink" Target="https://www.fao.org/fao-who-codexalimentarius/sh-proxy/en/?lnk=1&amp;url=https%253A%252F%252Fworkspace.fao.org%252Fsites%252Fcodex%252FStandards%252FCXS%2B353-2022%252FCXS_353e.pdf" TargetMode="External"/><Relationship Id="rId615" Type="http://schemas.openxmlformats.org/officeDocument/2006/relationships/hyperlink" Target="https://www.oecd.org/agriculture/fruit-vegetables/publications/brochures/oecd-explanatory-brochure-on-bananas-brochure-interpretative-ocde-pour-les-bananes.pdf" TargetMode="External"/><Relationship Id="rId822" Type="http://schemas.openxmlformats.org/officeDocument/2006/relationships/hyperlink" Target="https://unece.org/sites/default/files/2023-12/FFV-39_Sweet_Chestnuts_2023_e.pdf" TargetMode="External"/><Relationship Id="rId254" Type="http://schemas.openxmlformats.org/officeDocument/2006/relationships/hyperlink" Target="https://ec.europa.eu/agriculture/eambrosia/geographical-indications-register/" TargetMode="External"/><Relationship Id="rId699" Type="http://schemas.openxmlformats.org/officeDocument/2006/relationships/hyperlink" Target="https://unece.org/sites/default/files/2024-03/FFV-09_Headed_cabbages_2023_e.pdf" TargetMode="External"/><Relationship Id="rId49" Type="http://schemas.openxmlformats.org/officeDocument/2006/relationships/hyperlink" Target="https://www.legifrance.gouv.fr/download/pdf/legiOrKali?id=LEGITEXT000022197698.pdf&amp;size=8,3%20Mo&amp;pathToFile=/LEGI/TEXT/00/00/22/19/76/98/LEGITEXT000022197698/LEGITEXT000022197698.pdf&amp;title=Code%20rural%20et%20de%20la%20p%C3%AAche%20maritime" TargetMode="External"/><Relationship Id="rId114" Type="http://schemas.openxmlformats.org/officeDocument/2006/relationships/hyperlink" Target="https://ec.europa.eu/agriculture/eambrosia/geographical-indications-register/" TargetMode="External"/><Relationship Id="rId461" Type="http://schemas.openxmlformats.org/officeDocument/2006/relationships/hyperlink" Target="https://read.oecd-ilibrary.org/agriculture-and-food/fresh-figs_9789264234086-en-fr" TargetMode="External"/><Relationship Id="rId559" Type="http://schemas.openxmlformats.org/officeDocument/2006/relationships/hyperlink" Target="https://www.oecd-ilibrary.org/docserver/860574df-en-fr.pdf?expires=1714685131&amp;id=id&amp;accname=guest&amp;checksum=CD4C1445CF68EB45B9C0F10461F10A2D" TargetMode="External"/><Relationship Id="rId766" Type="http://schemas.openxmlformats.org/officeDocument/2006/relationships/hyperlink" Target="https://unece.org/sites/default/files/2024-03/FFV-41_Courgettes_2023_e.pdf" TargetMode="External"/><Relationship Id="rId198" Type="http://schemas.openxmlformats.org/officeDocument/2006/relationships/hyperlink" Target="https://ec.europa.eu/agriculture/eambrosia/geographical-indications-register/" TargetMode="External"/><Relationship Id="rId321" Type="http://schemas.openxmlformats.org/officeDocument/2006/relationships/hyperlink" Target="https://www.vegaplan.be/uploads/files/modules/documents/file/1689754274_230403%20Vegaplan%20Standaard%20v5.0_E_noTC.pdf" TargetMode="External"/><Relationship Id="rId419" Type="http://schemas.openxmlformats.org/officeDocument/2006/relationships/hyperlink" Target="https://www.fao.org/fao-who-codexalimentarius/sh-proxy/en/?lnk=1&amp;url=https%253A%252F%252Fworkspace.fao.org%252Fsites%252Fcodex%252FStandards%252FCXS%2B172-1989%252FCXS_172e.pdf" TargetMode="External"/><Relationship Id="rId626" Type="http://schemas.openxmlformats.org/officeDocument/2006/relationships/hyperlink" Target="https://read.oecd-ilibrary.org/agriculture-and-food/beans_0bc40eec-en-fr" TargetMode="External"/><Relationship Id="rId833" Type="http://schemas.openxmlformats.org/officeDocument/2006/relationships/hyperlink" Target="https://unece.org/sites/default/files/2024-03/FFV-49_Pineapples_2023_e.pdf" TargetMode="External"/><Relationship Id="rId265" Type="http://schemas.openxmlformats.org/officeDocument/2006/relationships/hyperlink" Target="https://ec.europa.eu/agriculture/eambrosia/geographical-indications-register/" TargetMode="External"/><Relationship Id="rId472" Type="http://schemas.openxmlformats.org/officeDocument/2006/relationships/hyperlink" Target="https://www.oecd-ilibrary.org/docserver/9789264272941-en-fr.pdf?expires=1714684325&amp;id=id&amp;accname=guest&amp;checksum=51E7DB1330BBA930286B91FBC4337913" TargetMode="External"/><Relationship Id="rId900" Type="http://schemas.openxmlformats.org/officeDocument/2006/relationships/hyperlink" Target="https://eur-lex.europa.eu/legal-content/EN/TXT/?uri=CELEX%3A02011R0543-20221024&amp;qid=1681464333326" TargetMode="External"/><Relationship Id="rId125" Type="http://schemas.openxmlformats.org/officeDocument/2006/relationships/hyperlink" Target="https://ec.europa.eu/agriculture/eambrosia/geographical-indications-register/" TargetMode="External"/><Relationship Id="rId332" Type="http://schemas.openxmlformats.org/officeDocument/2006/relationships/hyperlink" Target="https://pisciculteurs-de-france.fr/une-filiere-davenir/engagements-charte-qualite/" TargetMode="External"/><Relationship Id="rId777" Type="http://schemas.openxmlformats.org/officeDocument/2006/relationships/hyperlink" Target="https://unece.org/sites/default/files/2024-03/FFV-16_Fennel_2023_e.pdf" TargetMode="External"/><Relationship Id="rId637" Type="http://schemas.openxmlformats.org/officeDocument/2006/relationships/hyperlink" Target="https://read.oecd-ilibrary.org/agriculture-and-food/carrots_9789264081871-en-fr" TargetMode="External"/><Relationship Id="rId844" Type="http://schemas.openxmlformats.org/officeDocument/2006/relationships/hyperlink" Target="https://unece.org/sites/default/files/2024-03/FFV-40_Rhubarb_2023_e.pdf" TargetMode="External"/><Relationship Id="rId276" Type="http://schemas.openxmlformats.org/officeDocument/2006/relationships/hyperlink" Target="https://extranet.inao.gouv.fr/fichier/PNODUMogettesdeVendeeIGP--2-.pdf" TargetMode="External"/><Relationship Id="rId483" Type="http://schemas.openxmlformats.org/officeDocument/2006/relationships/hyperlink" Target="https://read.oecd-ilibrary.org/agriculture-and-food/inshell-hazelnuts-and-hazelnut-kernels_9789264166721-en-fr" TargetMode="External"/><Relationship Id="rId690" Type="http://schemas.openxmlformats.org/officeDocument/2006/relationships/hyperlink" Target="https://unece.org/sites/default/files/2024-03/FFV-57_Berry_fruits_2023_e.pdf" TargetMode="External"/><Relationship Id="rId704" Type="http://schemas.openxmlformats.org/officeDocument/2006/relationships/hyperlink" Target="https://unece.org/sites/default/files/2024-03/FFV-09_Headed_cabbages_2023_e.pdf" TargetMode="External"/><Relationship Id="rId911" Type="http://schemas.openxmlformats.org/officeDocument/2006/relationships/hyperlink" Target="https://eur-lex.europa.eu/legal-content/EN/TXT/?uri=CELEX%3A02011R0543-20221024&amp;qid=1681464333326" TargetMode="External"/><Relationship Id="rId40" Type="http://schemas.openxmlformats.org/officeDocument/2006/relationships/hyperlink" Target="https://narodne-novine.nn.hr/clanci/sluzbeni/2013_04_48_941.html" TargetMode="External"/><Relationship Id="rId136" Type="http://schemas.openxmlformats.org/officeDocument/2006/relationships/hyperlink" Target="https://ec.europa.eu/agriculture/eambrosia/geographical-indications-register/" TargetMode="External"/><Relationship Id="rId343" Type="http://schemas.openxmlformats.org/officeDocument/2006/relationships/hyperlink" Target="https://www.globalgap.org/what-we-offer/solutions/ah-beter-voor-natuur-en-boer/" TargetMode="External"/><Relationship Id="rId550" Type="http://schemas.openxmlformats.org/officeDocument/2006/relationships/hyperlink" Target="https://read.oecd-ilibrary.org/agriculture-and-food/early-and-ware-potatoes_9789264068391-en-fr" TargetMode="External"/><Relationship Id="rId788" Type="http://schemas.openxmlformats.org/officeDocument/2006/relationships/hyperlink" Target="https://unece.org/sites/default/files/2023-12/FFV-27_Peas_2023_e.pdf" TargetMode="External"/><Relationship Id="rId203" Type="http://schemas.openxmlformats.org/officeDocument/2006/relationships/hyperlink" Target="https://ec.europa.eu/agriculture/eambrosia/geographical-indications-register/" TargetMode="External"/><Relationship Id="rId648" Type="http://schemas.openxmlformats.org/officeDocument/2006/relationships/hyperlink" Target="https://read.oecd-ilibrary.org/agriculture-and-food/chinese-cabbage_9789264248694-en-fr" TargetMode="External"/><Relationship Id="rId855" Type="http://schemas.openxmlformats.org/officeDocument/2006/relationships/hyperlink" Target="https://unece.org/sites/default/files/2024-03/FFV-23_Melons_2023_e.pdf" TargetMode="External"/><Relationship Id="rId287" Type="http://schemas.openxmlformats.org/officeDocument/2006/relationships/hyperlink" Target="https://it.usembassy.gov/wp-content/uploads/sites/67/Food-and-Agricultural-Import-Regulations-and-Standards-Country-Report_Rome_Italy_12-31-2021-5.pdf" TargetMode="External"/><Relationship Id="rId410" Type="http://schemas.openxmlformats.org/officeDocument/2006/relationships/hyperlink" Target="https://www.fao.org/fao-who-codexalimentarius/sh-proxy/en/?lnk=1&amp;url=https%253A%252F%252Fworkspace.fao.org%252Fsites%252Fcodex%252FStandards%252FCXS%2B96-1981%252FCXS_096e.pdf" TargetMode="External"/><Relationship Id="rId494" Type="http://schemas.openxmlformats.org/officeDocument/2006/relationships/hyperlink" Target="https://www.oecd-ilibrary.org/docserver/dbf45fde-en-fr.pdf?expires=1714684486&amp;id=id&amp;accname=guest&amp;checksum=8EBA4104DBC1C842B5F0A1AF67690B23" TargetMode="External"/><Relationship Id="rId508" Type="http://schemas.openxmlformats.org/officeDocument/2006/relationships/hyperlink" Target="https://read.oecd-ilibrary.org/agriculture-and-food/melons_9789264213289-en-fr" TargetMode="External"/><Relationship Id="rId715" Type="http://schemas.openxmlformats.org/officeDocument/2006/relationships/hyperlink" Target="https://unece.org/sites/default/files/2024-03/FFV-47_Annonas_2023_e.pdf" TargetMode="External"/><Relationship Id="rId922" Type="http://schemas.openxmlformats.org/officeDocument/2006/relationships/hyperlink" Target="https://eur-lex.europa.eu/legal-content/EN/TXT/?uri=CELEX%3A02011R0543-20221024&amp;qid=1681464333326" TargetMode="External"/><Relationship Id="rId147" Type="http://schemas.openxmlformats.org/officeDocument/2006/relationships/hyperlink" Target="https://ec.europa.eu/agriculture/eambrosia/geographical-indications-register/" TargetMode="External"/><Relationship Id="rId354" Type="http://schemas.openxmlformats.org/officeDocument/2006/relationships/hyperlink" Target="https://www.globalgap.org/what-we-offer/solutions/grasp/" TargetMode="External"/><Relationship Id="rId799" Type="http://schemas.openxmlformats.org/officeDocument/2006/relationships/hyperlink" Target="https://unece.org/sites/default/files/2024-03/FFV-63_Persimmons_2023_e.pdf" TargetMode="External"/><Relationship Id="rId51" Type="http://schemas.openxmlformats.org/officeDocument/2006/relationships/hyperlink" Target="https://www.politicheagricole.it/flex/cm/pages/ServeBLOB.php/L/IT/IDPagina/7048" TargetMode="External"/><Relationship Id="rId561" Type="http://schemas.openxmlformats.org/officeDocument/2006/relationships/hyperlink" Target="https://www.oecd-ilibrary.org/docserver/860574df-en-fr.pdf?expires=1714685131&amp;id=id&amp;accname=guest&amp;checksum=CD4C1445CF68EB45B9C0F10461F10A2D" TargetMode="External"/><Relationship Id="rId659" Type="http://schemas.openxmlformats.org/officeDocument/2006/relationships/hyperlink" Target="https://read.oecd-ilibrary.org/agriculture-and-food/cherries_9789264248625-en-fr" TargetMode="External"/><Relationship Id="rId866" Type="http://schemas.openxmlformats.org/officeDocument/2006/relationships/hyperlink" Target="https://unece.org/sites/default/files/2023-07/SL_FFV_2021_e_final.pdf" TargetMode="External"/><Relationship Id="rId214" Type="http://schemas.openxmlformats.org/officeDocument/2006/relationships/hyperlink" Target="https://ec.europa.eu/agriculture/eambrosia/geographical-indications-register/" TargetMode="External"/><Relationship Id="rId298" Type="http://schemas.openxmlformats.org/officeDocument/2006/relationships/hyperlink" Target="https://www.belbeef.be/de-belbeef-standaard" TargetMode="External"/><Relationship Id="rId421" Type="http://schemas.openxmlformats.org/officeDocument/2006/relationships/hyperlink" Target="https://www.fao.org/fao-who-codexalimentarius/sh-proxy/en/?lnk=1&amp;url=https%253A%252F%252Fworkspace.fao.org%252Fsites%252Fcodex%252FStandards%252FCXS%2B178-1991%252FCXS_178e.pdf" TargetMode="External"/><Relationship Id="rId519" Type="http://schemas.openxmlformats.org/officeDocument/2006/relationships/hyperlink" Target="https://read.oecd-ilibrary.org/agriculture-and-food/onions_9789264175082-en-fr" TargetMode="External"/><Relationship Id="rId158" Type="http://schemas.openxmlformats.org/officeDocument/2006/relationships/hyperlink" Target="https://ec.europa.eu/agriculture/eambrosia/geographical-indications-register/" TargetMode="External"/><Relationship Id="rId726" Type="http://schemas.openxmlformats.org/officeDocument/2006/relationships/hyperlink" Target="https://unece.org/sites/default/files/2023-12/FFV11_Cauliflowers_2023_e.pdf" TargetMode="External"/><Relationship Id="rId933" Type="http://schemas.openxmlformats.org/officeDocument/2006/relationships/hyperlink" Target="https://eur-lex.europa.eu/legal-content/EN/TXT/?uri=CELEX%3A02011R0543-20221024&amp;qid=1681464333326" TargetMode="External"/><Relationship Id="rId62" Type="http://schemas.openxmlformats.org/officeDocument/2006/relationships/hyperlink" Target="https://legislation.mt/eli/sl/449.18/20100722/eng" TargetMode="External"/><Relationship Id="rId365" Type="http://schemas.openxmlformats.org/officeDocument/2006/relationships/hyperlink" Target="https://www.fairtrade.net/about/faq" TargetMode="External"/><Relationship Id="rId572" Type="http://schemas.openxmlformats.org/officeDocument/2006/relationships/hyperlink" Target="https://read.oecd-ilibrary.org/agriculture-and-food/watermelons_9789264178960-en-fr" TargetMode="External"/><Relationship Id="rId225" Type="http://schemas.openxmlformats.org/officeDocument/2006/relationships/hyperlink" Target="https://ec.europa.eu/agriculture/eambrosia/geographical-indications-register/" TargetMode="External"/><Relationship Id="rId432" Type="http://schemas.openxmlformats.org/officeDocument/2006/relationships/hyperlink" Target="https://www.fao.org/fao-who-codexalimentarius/sh-proxy/en/?lnk=1&amp;url=https%253A%252F%252Fworkspace.fao.org%252Fsites%252Fcodex%252FStandards%252FCXS%2B107-1981%252FCXS_107e.pdf" TargetMode="External"/><Relationship Id="rId877" Type="http://schemas.openxmlformats.org/officeDocument/2006/relationships/hyperlink" Target="https://eur-lex.europa.eu/eli/dir/2009/128/oj" TargetMode="External"/><Relationship Id="rId737" Type="http://schemas.openxmlformats.org/officeDocument/2006/relationships/hyperlink" Target="https://unece.org/sites/default/files/2024-03/FFV-55_Chanterelles_2023_e.pdf" TargetMode="External"/><Relationship Id="rId944" Type="http://schemas.openxmlformats.org/officeDocument/2006/relationships/hyperlink" Target="https://eur-lex.europa.eu/legal-content/EN/TXT/?uri=CELEX%3A02011R0543-20221024&amp;qid=1681464333326" TargetMode="External"/><Relationship Id="rId73" Type="http://schemas.openxmlformats.org/officeDocument/2006/relationships/hyperlink" Target="https://ec.europa.eu/agriculture/eambrosia/geographical-indications-register/" TargetMode="External"/><Relationship Id="rId169" Type="http://schemas.openxmlformats.org/officeDocument/2006/relationships/hyperlink" Target="https://ec.europa.eu/agriculture/eambrosia/geographical-indications-register/" TargetMode="External"/><Relationship Id="rId376" Type="http://schemas.openxmlformats.org/officeDocument/2006/relationships/hyperlink" Target="https://www.planetproof.eu/en/" TargetMode="External"/><Relationship Id="rId583" Type="http://schemas.openxmlformats.org/officeDocument/2006/relationships/hyperlink" Target="https://www.oecd.org/agriculture/fruit-vegetables/publications/brochures/apricots-9789264084902-en-fr.htm" TargetMode="External"/><Relationship Id="rId790" Type="http://schemas.openxmlformats.org/officeDocument/2006/relationships/hyperlink" Target="https://unece.org/sites/default/files/2023-12/FFV-27_Peas_2023_e.pdf" TargetMode="External"/><Relationship Id="rId804" Type="http://schemas.openxmlformats.org/officeDocument/2006/relationships/hyperlink" Target="https://unece.org/sites/default/files/2024-03/FFV-62_Quince_2023_e.pdf" TargetMode="External"/><Relationship Id="rId4" Type="http://schemas.openxmlformats.org/officeDocument/2006/relationships/hyperlink" Target="https://bds-bg.org/bg/project/show/bds:proj:16685" TargetMode="External"/><Relationship Id="rId236" Type="http://schemas.openxmlformats.org/officeDocument/2006/relationships/hyperlink" Target="https://ec.europa.eu/agriculture/eambrosia/geographical-indications-register/" TargetMode="External"/><Relationship Id="rId443" Type="http://schemas.openxmlformats.org/officeDocument/2006/relationships/hyperlink" Target="https://www.fao.org/fao-who-codexalimentarius/sh-proxy/en/?lnk=1&amp;url=https%253A%252F%252Fworkspace.fao.org%252Fsites%252Fcodex%252FStandards%252FCXS%2B297-2009%252FCXS_297e.pdf" TargetMode="External"/><Relationship Id="rId650" Type="http://schemas.openxmlformats.org/officeDocument/2006/relationships/hyperlink" Target="https://read.oecd-ilibrary.org/agriculture-and-food/chinese-cabbage_9789264248694-en-fr" TargetMode="External"/><Relationship Id="rId888" Type="http://schemas.openxmlformats.org/officeDocument/2006/relationships/hyperlink" Target="https://eur-lex.europa.eu/legal-content/EN/TXT/?uri=CELEX%3A02011R0543-20221024&amp;qid=1681464333326" TargetMode="External"/><Relationship Id="rId303" Type="http://schemas.openxmlformats.org/officeDocument/2006/relationships/hyperlink" Target="https://belpork.be/nl/bepork/" TargetMode="External"/><Relationship Id="rId748" Type="http://schemas.openxmlformats.org/officeDocument/2006/relationships/hyperlink" Target="https://unece.org/sites/default/files/2024-03/FFV-54_Ceps_2023_e.pdf" TargetMode="External"/><Relationship Id="rId955" Type="http://schemas.openxmlformats.org/officeDocument/2006/relationships/hyperlink" Target="https://eur-lex.europa.eu/legal-content/EN/TXT/?uri=CELEX%3A32003R1829" TargetMode="External"/><Relationship Id="rId84" Type="http://schemas.openxmlformats.org/officeDocument/2006/relationships/hyperlink" Target="https://ec.europa.eu/agriculture/eambrosia/geographical-indications-register/" TargetMode="External"/><Relationship Id="rId387" Type="http://schemas.openxmlformats.org/officeDocument/2006/relationships/hyperlink" Target="https://www.fao.org/fao-who-codexalimentarius/sh-proxy/en/?lnk=1&amp;url=https%253A%252F%252Fworkspace.fao.org%252Fsites%252Fcodex%252FStandards%252FCXS%2B213-1999%252FCXS_213e.pdf" TargetMode="External"/><Relationship Id="rId510" Type="http://schemas.openxmlformats.org/officeDocument/2006/relationships/hyperlink" Target="https://read.oecd-ilibrary.org/agriculture-and-food/melons_9789264213289-en-fr" TargetMode="External"/><Relationship Id="rId594" Type="http://schemas.openxmlformats.org/officeDocument/2006/relationships/hyperlink" Target="https://read.oecd-ilibrary.org/agriculture-and-food/international-standards-for-fruit-and-vegetables_9789264116351-en-fr" TargetMode="External"/><Relationship Id="rId608" Type="http://schemas.openxmlformats.org/officeDocument/2006/relationships/hyperlink" Target="https://www.oecd.org/agriculture/fruit-vegetables/publications/brochures/oecd-explanatory-brochure-on-bananas-brochure-interpretative-ocde-pour-les-bananes.pdf" TargetMode="External"/><Relationship Id="rId815" Type="http://schemas.openxmlformats.org/officeDocument/2006/relationships/hyperlink" Target="https://unece.org/sites/default/files/2024-03/FFV-12_Ribbed_celery_2023_e.pdf" TargetMode="External"/><Relationship Id="rId247" Type="http://schemas.openxmlformats.org/officeDocument/2006/relationships/hyperlink" Target="https://ec.europa.eu/agriculture/eambrosia/geographical-indications-register/" TargetMode="External"/><Relationship Id="rId899" Type="http://schemas.openxmlformats.org/officeDocument/2006/relationships/hyperlink" Target="https://eur-lex.europa.eu/legal-content/EN/TXT/?uri=CELEX%3A02011R0543-20221024&amp;qid=1681464333326" TargetMode="External"/><Relationship Id="rId107" Type="http://schemas.openxmlformats.org/officeDocument/2006/relationships/hyperlink" Target="https://www.inao.gouv.fr/Archives-des-actualites-de-l-INAO/Le-Poulet-du-Perigord-obtient-l-IGP" TargetMode="External"/><Relationship Id="rId454" Type="http://schemas.openxmlformats.org/officeDocument/2006/relationships/hyperlink" Target="https://www.fao.org/fao-who-codexalimentarius/sh-proxy/en/?lnk=1&amp;url=https%253A%252F%252Fworkspace.fao.org%252Fsites%252Fcodex%252FStandards%252FCXS%2B36-1981%252FCXS_036e.pdf" TargetMode="External"/><Relationship Id="rId661" Type="http://schemas.openxmlformats.org/officeDocument/2006/relationships/hyperlink" Target="https://read.oecd-ilibrary.org/agriculture-and-food/cherries_9789264248625-en-fr" TargetMode="External"/><Relationship Id="rId759" Type="http://schemas.openxmlformats.org/officeDocument/2006/relationships/hyperlink" Target="https://unece.org/sites/default/files/2024-03/FFV-61_Chilli_peppers_2023_e.pdf" TargetMode="External"/><Relationship Id="rId966" Type="http://schemas.openxmlformats.org/officeDocument/2006/relationships/hyperlink" Target="https://diariodarepublica.pt/dr/detalhe/portaria/587-2006-370869" TargetMode="External"/><Relationship Id="rId11" Type="http://schemas.openxmlformats.org/officeDocument/2006/relationships/hyperlink" Target="https://bfsa.egov.bg/wps/wcm/connect/bfsa.egov.bg19113/102b3b84-0318-4a64-b349-5f3794679dbc/NAREDBA___10_ot_26042021_g_za_specifichnite_iziskvaniq_kam_proizvodstvoto_na_hrani_ot_jivotinski_.pdf?MOD=AJPERES&amp;CVID=obJZfW9" TargetMode="External"/><Relationship Id="rId314" Type="http://schemas.openxmlformats.org/officeDocument/2006/relationships/hyperlink" Target="https://www.carrefour.fr/marques/filiere-qualite-carrefour/produits" TargetMode="External"/><Relationship Id="rId398" Type="http://schemas.openxmlformats.org/officeDocument/2006/relationships/hyperlink" Target="https://www.fao.org/fao-who-codexalimentarius/sh-proxy/en/?lnk=1&amp;url=https%253A%252F%252Fworkspace.fao.org%252Fsites%252Fcodex%252FStandards%252FCXS%2B303-2011%252FCXS_303e.pdf" TargetMode="External"/><Relationship Id="rId521" Type="http://schemas.openxmlformats.org/officeDocument/2006/relationships/hyperlink" Target="https://www.oecd.org/agriculture/fruit-vegetables/publications/brochures/Brochure%20Passion%20Fruit%202023%20interactif%20%20%20Fiches%20V2.pdf" TargetMode="External"/><Relationship Id="rId619" Type="http://schemas.openxmlformats.org/officeDocument/2006/relationships/hyperlink" Target="https://read.oecd-ilibrary.org/agriculture-and-food/beans_0bc40eec-en-fr" TargetMode="External"/><Relationship Id="rId95" Type="http://schemas.openxmlformats.org/officeDocument/2006/relationships/hyperlink" Target="https://ec.europa.eu/agriculture/eambrosia/geographical-indications-register/" TargetMode="External"/><Relationship Id="rId160" Type="http://schemas.openxmlformats.org/officeDocument/2006/relationships/hyperlink" Target="https://ec.europa.eu/agriculture/eambrosia/geographical-indications-register/" TargetMode="External"/><Relationship Id="rId826" Type="http://schemas.openxmlformats.org/officeDocument/2006/relationships/hyperlink" Target="https://unece.org/sites/default/files/2024-03/FFV-53_Truffles_2023_e.pdf" TargetMode="External"/><Relationship Id="rId258" Type="http://schemas.openxmlformats.org/officeDocument/2006/relationships/hyperlink" Target="https://ec.europa.eu/agriculture/eambrosia/geographical-indications-register/" TargetMode="External"/><Relationship Id="rId465" Type="http://schemas.openxmlformats.org/officeDocument/2006/relationships/hyperlink" Target="https://read.oecd-ilibrary.org/agriculture-and-food/fresh-figs_9789264234086-en-fr" TargetMode="External"/><Relationship Id="rId672" Type="http://schemas.openxmlformats.org/officeDocument/2006/relationships/hyperlink" Target="https://read.oecd-ilibrary.org/agriculture-and-food/cucumbers_9789264045262-en-fr" TargetMode="External"/><Relationship Id="rId22" Type="http://schemas.openxmlformats.org/officeDocument/2006/relationships/hyperlink" Target="https://pisrs.si/Prevodi/EN-2016-01-3141-2014-01-3434-npb1.doc" TargetMode="External"/><Relationship Id="rId118" Type="http://schemas.openxmlformats.org/officeDocument/2006/relationships/hyperlink" Target="https://ec.europa.eu/agriculture/eambrosia/geographical-indications-register/" TargetMode="External"/><Relationship Id="rId325" Type="http://schemas.openxmlformats.org/officeDocument/2006/relationships/hyperlink" Target="https://veilingzaltbommel.nl/onze-producten/" TargetMode="External"/><Relationship Id="rId532" Type="http://schemas.openxmlformats.org/officeDocument/2006/relationships/hyperlink" Target="https://www.oecd-ilibrary.org/docserver/dda2dfce-en-fr.pdf?expires=1714684906&amp;id=id&amp;accname=guest&amp;checksum=F9E18B0470BCBB1240457C7D3BA41C20" TargetMode="External"/><Relationship Id="rId171" Type="http://schemas.openxmlformats.org/officeDocument/2006/relationships/hyperlink" Target="https://ec.europa.eu/agriculture/eambrosia/geographical-indications-register/" TargetMode="External"/><Relationship Id="rId837" Type="http://schemas.openxmlformats.org/officeDocument/2006/relationships/hyperlink" Target="https://unece.org/sites/default/files/2024-03/FFV-49_Pineapples_2023_e.pdf" TargetMode="External"/><Relationship Id="rId269" Type="http://schemas.openxmlformats.org/officeDocument/2006/relationships/hyperlink" Target="https://ec.europa.eu/agriculture/eambrosia/geographical-indications-register/" TargetMode="External"/><Relationship Id="rId476" Type="http://schemas.openxmlformats.org/officeDocument/2006/relationships/hyperlink" Target="https://www.oecd-ilibrary.org/docserver/9789264272941-en-fr.pdf?expires=1714684325&amp;id=id&amp;accname=guest&amp;checksum=51E7DB1330BBA930286B91FBC4337913" TargetMode="External"/><Relationship Id="rId683" Type="http://schemas.openxmlformats.org/officeDocument/2006/relationships/hyperlink" Target="https://read.oecd-ilibrary.org/agriculture-and-food/cultivated-mushrooms_9789264013261-en-fr" TargetMode="External"/><Relationship Id="rId890" Type="http://schemas.openxmlformats.org/officeDocument/2006/relationships/hyperlink" Target="https://eur-lex.europa.eu/legal-content/EN/TXT/?uri=CELEX%3A02011R0543-20221024&amp;qid=1681464333326" TargetMode="External"/><Relationship Id="rId904" Type="http://schemas.openxmlformats.org/officeDocument/2006/relationships/hyperlink" Target="https://eur-lex.europa.eu/legal-content/EN/TXT/?uri=CELEX%3A02011R0543-20221024&amp;qid=1681464333326" TargetMode="External"/><Relationship Id="rId33" Type="http://schemas.openxmlformats.org/officeDocument/2006/relationships/hyperlink" Target="https://pisrs.si/pregledPredpisa?id=PRAV11465" TargetMode="External"/><Relationship Id="rId129" Type="http://schemas.openxmlformats.org/officeDocument/2006/relationships/hyperlink" Target="https://ec.europa.eu/agriculture/eambrosia/geographical-indications-register/" TargetMode="External"/><Relationship Id="rId336" Type="http://schemas.openxmlformats.org/officeDocument/2006/relationships/hyperlink" Target="https://www.nateeo.it/en/proterra-sustainability-in-soy-lecithin/?_gl=1*2317ex*_up*MQ..*_ga*MjExMDA0MTI5LjE3MTQ3MTkzNTY.*_ga_597WVXNBEN*MTcxNDcxOTM1Ni4xLjAuMTcxNDcxOTM1Ni4wLjAuMA" TargetMode="External"/><Relationship Id="rId543" Type="http://schemas.openxmlformats.org/officeDocument/2006/relationships/hyperlink" Target="https://read.oecd-ilibrary.org/agriculture-and-food/pomegranate_9789264206700-en-fr" TargetMode="External"/><Relationship Id="rId182" Type="http://schemas.openxmlformats.org/officeDocument/2006/relationships/hyperlink" Target="https://ec.europa.eu/agriculture/eambrosia/geographical-indications-register/" TargetMode="External"/><Relationship Id="rId403" Type="http://schemas.openxmlformats.org/officeDocument/2006/relationships/hyperlink" Target="https://www.fao.org/fao-who-codexalimentarius/sh-proxy/en/?lnk=1&amp;url=https%253A%252F%252Fworkspace.fao.org%252Fsites%252Fcodex%252FStandards%252FCXS%2B337-2020%252FCXS_337e.pdf" TargetMode="External"/><Relationship Id="rId750" Type="http://schemas.openxmlformats.org/officeDocument/2006/relationships/hyperlink" Target="https://unece.org/sites/default/files/2024-03/FFV-54_Ceps_2023_e.pdf" TargetMode="External"/><Relationship Id="rId848" Type="http://schemas.openxmlformats.org/officeDocument/2006/relationships/hyperlink" Target="https://unece.org/sites/default/files/2024-03/FFV-40_Rhubarb_2023_e.pdf" TargetMode="External"/><Relationship Id="rId487" Type="http://schemas.openxmlformats.org/officeDocument/2006/relationships/hyperlink" Target="https://www.oecd-ilibrary.org/docserver/dbf45fde-en-fr.pdf?expires=1714684486&amp;id=id&amp;accname=guest&amp;checksum=8EBA4104DBC1C842B5F0A1AF67690B23" TargetMode="External"/><Relationship Id="rId610" Type="http://schemas.openxmlformats.org/officeDocument/2006/relationships/hyperlink" Target="https://www.oecd.org/agriculture/fruit-vegetables/publications/brochures/oecd-explanatory-brochure-on-bananas-brochure-interpretative-ocde-pour-les-bananes.pdf" TargetMode="External"/><Relationship Id="rId694" Type="http://schemas.openxmlformats.org/officeDocument/2006/relationships/hyperlink" Target="https://unece.org/sites/default/files/2024-03/FFV-08_Brussels_sprouts_2023_e.pdf" TargetMode="External"/><Relationship Id="rId708" Type="http://schemas.openxmlformats.org/officeDocument/2006/relationships/hyperlink" Target="https://unece.org/sites/default/files/2024-03/FFV-03_Artichokes_2023_e.pdf" TargetMode="External"/><Relationship Id="rId915" Type="http://schemas.openxmlformats.org/officeDocument/2006/relationships/hyperlink" Target="https://eur-lex.europa.eu/legal-content/EN/TXT/?uri=CELEX%3A02011R0543-20221024&amp;qid=1681464333326" TargetMode="External"/><Relationship Id="rId347" Type="http://schemas.openxmlformats.org/officeDocument/2006/relationships/hyperlink" Target="https://www.salmar.no/de/Menu-6-1" TargetMode="External"/><Relationship Id="rId44" Type="http://schemas.openxmlformats.org/officeDocument/2006/relationships/hyperlink" Target="https://www.salute.gov.it/portale/news/p3_2_1_1_1.jsp?menu=notizie&amp;id=1319" TargetMode="External"/><Relationship Id="rId554" Type="http://schemas.openxmlformats.org/officeDocument/2006/relationships/hyperlink" Target="https://read.oecd-ilibrary.org/agriculture-and-food/early-and-ware-potatoes_9789264068391-en-fr" TargetMode="External"/><Relationship Id="rId761" Type="http://schemas.openxmlformats.org/officeDocument/2006/relationships/hyperlink" Target="https://unece.org/sites/default/files/2024-03/FFV-61_Chilli_peppers_2023_e.pdf" TargetMode="External"/><Relationship Id="rId859" Type="http://schemas.openxmlformats.org/officeDocument/2006/relationships/hyperlink" Target="https://unece.org/sites/default/files/2024-03/FFV-60_Lambs_lettuce_2023_e.pdf" TargetMode="External"/><Relationship Id="rId193" Type="http://schemas.openxmlformats.org/officeDocument/2006/relationships/hyperlink" Target="https://ec.europa.eu/agriculture/eambrosia/geographical-indications-register/" TargetMode="External"/><Relationship Id="rId207" Type="http://schemas.openxmlformats.org/officeDocument/2006/relationships/hyperlink" Target="https://ec.europa.eu/agriculture/eambrosia/geographical-indications-register/" TargetMode="External"/><Relationship Id="rId414" Type="http://schemas.openxmlformats.org/officeDocument/2006/relationships/hyperlink" Target="https://www.fao.org/fao-who-codexalimentarius/sh-proxy/en/?lnk=1&amp;url=https%253A%252F%252Fworkspace.fao.org%252Fsites%252Fcodex%252FStandards%252FCXS%2B154-1985%252FCXS_154e.pdf" TargetMode="External"/><Relationship Id="rId498" Type="http://schemas.openxmlformats.org/officeDocument/2006/relationships/hyperlink" Target="https://www.oecd-ilibrary.org/docserver/f9210db0-en-fr.pdf?expires=1714684643&amp;id=id&amp;accname=guest&amp;checksum=FF14B51CAE784302E24CB710A213E6FB" TargetMode="External"/><Relationship Id="rId621" Type="http://schemas.openxmlformats.org/officeDocument/2006/relationships/hyperlink" Target="https://read.oecd-ilibrary.org/agriculture-and-food/beans_0bc40eec-en-fr" TargetMode="External"/><Relationship Id="rId260" Type="http://schemas.openxmlformats.org/officeDocument/2006/relationships/hyperlink" Target="https://ec.europa.eu/agriculture/eambrosia/geographical-indications-register/" TargetMode="External"/><Relationship Id="rId719" Type="http://schemas.openxmlformats.org/officeDocument/2006/relationships/hyperlink" Target="https://unece.org/sites/default/files/2024-03/FFV-47_Annonas_2023_e.pdf" TargetMode="External"/><Relationship Id="rId926" Type="http://schemas.openxmlformats.org/officeDocument/2006/relationships/hyperlink" Target="https://eur-lex.europa.eu/legal-content/EN/TXT/?uri=CELEX%3A02011R0543-20221024&amp;qid=1681464333326" TargetMode="External"/><Relationship Id="rId55" Type="http://schemas.openxmlformats.org/officeDocument/2006/relationships/hyperlink" Target="https://www.gov.ie/en/collection/b0fc3-fresh-fruit-and-vegetables-marketing-standards-eu/" TargetMode="External"/><Relationship Id="rId120" Type="http://schemas.openxmlformats.org/officeDocument/2006/relationships/hyperlink" Target="https://ec.europa.eu/agriculture/eambrosia/geographical-indications-register/" TargetMode="External"/><Relationship Id="rId358" Type="http://schemas.openxmlformats.org/officeDocument/2006/relationships/hyperlink" Target="https://www.globalgap.org/what-we-offer/solutions/ida/" TargetMode="External"/><Relationship Id="rId565" Type="http://schemas.openxmlformats.org/officeDocument/2006/relationships/hyperlink" Target="https://read.oecd-ilibrary.org/agriculture-and-food/shallots_9789264213265-en-fr" TargetMode="External"/><Relationship Id="rId772" Type="http://schemas.openxmlformats.org/officeDocument/2006/relationships/hyperlink" Target="https://unece.org/sites/default/files/2024-03/FFV-16_Fennel_2023_e.pdf" TargetMode="External"/><Relationship Id="rId218" Type="http://schemas.openxmlformats.org/officeDocument/2006/relationships/hyperlink" Target="https://ec.europa.eu/agriculture/eambrosia/geographical-indications-register/" TargetMode="External"/><Relationship Id="rId425" Type="http://schemas.openxmlformats.org/officeDocument/2006/relationships/hyperlink" Target="https://www.fao.org/fao-who-codexalimentarius/sh-proxy/en/?lnk=1&amp;url=https%253A%252F%252Fworkspace.fao.org%252Fsites%252Fcodex%252FStandards%252FCXS%2B333-2019%252FCXS_333e.pdf" TargetMode="External"/><Relationship Id="rId632" Type="http://schemas.openxmlformats.org/officeDocument/2006/relationships/hyperlink" Target="https://read.oecd-ilibrary.org/agriculture-and-food/broccoli_9789264188822-en-fr" TargetMode="External"/><Relationship Id="rId271" Type="http://schemas.openxmlformats.org/officeDocument/2006/relationships/hyperlink" Target="https://ec.europa.eu/agriculture/eambrosia/geographical-indications-register/" TargetMode="External"/><Relationship Id="rId937" Type="http://schemas.openxmlformats.org/officeDocument/2006/relationships/hyperlink" Target="https://eur-lex.europa.eu/legal-content/EN/TXT/?uri=CELEX%3A02011R0543-20221024&amp;qid=1681464333326" TargetMode="External"/><Relationship Id="rId66" Type="http://schemas.openxmlformats.org/officeDocument/2006/relationships/hyperlink" Target="https://extranet.inao.gouv.fr/fichier/CDC-LA-0906-Truite-2008.pdf" TargetMode="External"/><Relationship Id="rId131" Type="http://schemas.openxmlformats.org/officeDocument/2006/relationships/hyperlink" Target="https://ec.europa.eu/agriculture/eambrosia/geographical-indications-register/" TargetMode="External"/><Relationship Id="rId369" Type="http://schemas.openxmlformats.org/officeDocument/2006/relationships/hyperlink" Target="https://www.ethicaltrade.org/eti-base-code" TargetMode="External"/><Relationship Id="rId576" Type="http://schemas.openxmlformats.org/officeDocument/2006/relationships/hyperlink" Target="https://read.oecd-ilibrary.org/agriculture-and-food/watermelons_9789264178960-en-fr" TargetMode="External"/><Relationship Id="rId783" Type="http://schemas.openxmlformats.org/officeDocument/2006/relationships/hyperlink" Target="https://unece.org/sites/default/files/2023-12/FFV-58_Leafy_vegetables_2023_e.pdf" TargetMode="External"/><Relationship Id="rId229" Type="http://schemas.openxmlformats.org/officeDocument/2006/relationships/hyperlink" Target="https://ec.europa.eu/agriculture/eambrosia/geographical-indications-register/" TargetMode="External"/><Relationship Id="rId436" Type="http://schemas.openxmlformats.org/officeDocument/2006/relationships/hyperlink" Target="https://www.fao.org/fao-who-codexalimentarius/sh-proxy/en/?lnk=1&amp;url=https%253A%252F%252Fworkspace.fao.org%252Fsites%252Fcodex%252FStandards%252FCXS%2B62-1981%252FCXS_062e.pdf" TargetMode="External"/><Relationship Id="rId643" Type="http://schemas.openxmlformats.org/officeDocument/2006/relationships/hyperlink" Target="https://read.oecd-ilibrary.org/agriculture-and-food/chinese-cabbage_9789264248694-en-fr" TargetMode="External"/><Relationship Id="rId850" Type="http://schemas.openxmlformats.org/officeDocument/2006/relationships/hyperlink" Target="https://unece.org/sites/default/files/2024-03/FFV-23_Melons_2023_e.pdf" TargetMode="External"/><Relationship Id="rId948" Type="http://schemas.openxmlformats.org/officeDocument/2006/relationships/hyperlink" Target="https://eur-lex.europa.eu/eli/reg/2007/275/oj" TargetMode="External"/><Relationship Id="rId77" Type="http://schemas.openxmlformats.org/officeDocument/2006/relationships/hyperlink" Target="https://ec.europa.eu/agriculture/eambrosia/geographical-indications-register/" TargetMode="External"/><Relationship Id="rId282" Type="http://schemas.openxmlformats.org/officeDocument/2006/relationships/hyperlink" Target="https://ec.europa.eu/agriculture/eambrosia/geographical-indications-register/" TargetMode="External"/><Relationship Id="rId503" Type="http://schemas.openxmlformats.org/officeDocument/2006/relationships/hyperlink" Target="https://www.oecd-ilibrary.org/docserver/f9210db0-en-fr.pdf?expires=1714684643&amp;id=id&amp;accname=guest&amp;checksum=FF14B51CAE784302E24CB710A213E6FB" TargetMode="External"/><Relationship Id="rId587" Type="http://schemas.openxmlformats.org/officeDocument/2006/relationships/hyperlink" Target="https://www.oecd.org/agriculture/fruit-vegetables/publications/brochures/apricots-9789264084902-en-fr.htm" TargetMode="External"/><Relationship Id="rId710" Type="http://schemas.openxmlformats.org/officeDocument/2006/relationships/hyperlink" Target="https://unece.org/sites/default/files/2024-03/FFV-03_Artichokes_2023_e.pdf" TargetMode="External"/><Relationship Id="rId808" Type="http://schemas.openxmlformats.org/officeDocument/2006/relationships/hyperlink" Target="https://unece.org/sites/default/files/2024-03/FFV-62_Quince_2023_e.pdf" TargetMode="External"/><Relationship Id="rId8" Type="http://schemas.openxmlformats.org/officeDocument/2006/relationships/hyperlink" Target="https://bfsa.egov.bg/wps/wcm/connect/bfsa.egov.bg19113/c7409b6e-2def-46d6-bf7c-536014b02188/NAREDBA___2_ot_23012008_g_za_materialite_i_predmetite_ot_plastmasi_prednaznacheni_za_kontakt_s_h.pdf?MOD=AJPERES&amp;CVID=obJLMrn" TargetMode="External"/><Relationship Id="rId142" Type="http://schemas.openxmlformats.org/officeDocument/2006/relationships/hyperlink" Target="https://ec.europa.eu/agriculture/eambrosia/geographical-indications-register/" TargetMode="External"/><Relationship Id="rId447" Type="http://schemas.openxmlformats.org/officeDocument/2006/relationships/hyperlink" Target="https://www.fao.org/fao-who-codexalimentarius/sh-proxy/en/?lnk=1&amp;url=https%253A%252F%252Fworkspace.fao.org%252Fsites%252Fcodex%252FStandards%252FCXS%2B70-1981%252FCXS_070e.pdf" TargetMode="External"/><Relationship Id="rId794" Type="http://schemas.openxmlformats.org/officeDocument/2006/relationships/hyperlink" Target="https://unece.org/sites/default/files/2024-03/FFV-63_Persimmons_2023_e.pdf" TargetMode="External"/><Relationship Id="rId654" Type="http://schemas.openxmlformats.org/officeDocument/2006/relationships/hyperlink" Target="https://read.oecd-ilibrary.org/agriculture-and-food/chicory_cf4b9857-en-fr" TargetMode="External"/><Relationship Id="rId861" Type="http://schemas.openxmlformats.org/officeDocument/2006/relationships/hyperlink" Target="https://unece.org/sites/default/files/2024-03/FFV-60_Lambs_lettuce_2023_e.pdf" TargetMode="External"/><Relationship Id="rId959" Type="http://schemas.openxmlformats.org/officeDocument/2006/relationships/hyperlink" Target="https://eur-lex.europa.eu/legal-content/en/ALL/?uri=CELEX%3A32008R0543" TargetMode="External"/><Relationship Id="rId293" Type="http://schemas.openxmlformats.org/officeDocument/2006/relationships/hyperlink" Target="https://unece.org/sites/default/files/2024-03/FFV-14_Citrus_fruit_2023_e.pdf" TargetMode="External"/><Relationship Id="rId307" Type="http://schemas.openxmlformats.org/officeDocument/2006/relationships/hyperlink" Target="https://www.carrefour.be/nl/inspiratie/kwaliteitsketen/beenhouwerij/varkensvlees-van-weleer/prodp.html" TargetMode="External"/><Relationship Id="rId514" Type="http://schemas.openxmlformats.org/officeDocument/2006/relationships/hyperlink" Target="https://read.oecd-ilibrary.org/agriculture-and-food/onions_9789264175082-en-fr" TargetMode="External"/><Relationship Id="rId721" Type="http://schemas.openxmlformats.org/officeDocument/2006/relationships/hyperlink" Target="https://unece.org/sites/default/files/2024-03/FFV-47_Annonas_2023_e.pdf" TargetMode="External"/><Relationship Id="rId88" Type="http://schemas.openxmlformats.org/officeDocument/2006/relationships/hyperlink" Target="https://ec.europa.eu/agriculture/eambrosia/geographical-indications-register/" TargetMode="External"/><Relationship Id="rId153" Type="http://schemas.openxmlformats.org/officeDocument/2006/relationships/hyperlink" Target="https://ec.europa.eu/agriculture/eambrosia/geographical-indications-register/" TargetMode="External"/><Relationship Id="rId360" Type="http://schemas.openxmlformats.org/officeDocument/2006/relationships/hyperlink" Target="https://www.brcgs.com/our-standards/plant-based-certification/" TargetMode="External"/><Relationship Id="rId598" Type="http://schemas.openxmlformats.org/officeDocument/2006/relationships/hyperlink" Target="https://read.oecd-ilibrary.org/agriculture-and-food/avocados_44a6e19b-en-fr-es" TargetMode="External"/><Relationship Id="rId819" Type="http://schemas.openxmlformats.org/officeDocument/2006/relationships/hyperlink" Target="https://unece.org/sites/default/files/2023-12/FFV-39_Sweet_Chestnuts_2023_e.pdf" TargetMode="External"/><Relationship Id="rId220" Type="http://schemas.openxmlformats.org/officeDocument/2006/relationships/hyperlink" Target="https://ec.europa.eu/agriculture/eambrosia/geographical-indications-register/" TargetMode="External"/><Relationship Id="rId458" Type="http://schemas.openxmlformats.org/officeDocument/2006/relationships/hyperlink" Target="https://www.oecd.org/publications/citrus-fruits-9789264083745-en-fr.htm" TargetMode="External"/><Relationship Id="rId665" Type="http://schemas.openxmlformats.org/officeDocument/2006/relationships/hyperlink" Target="https://read.oecd-ilibrary.org/agriculture-and-food/cherries_9789264248625-en-fr" TargetMode="External"/><Relationship Id="rId872" Type="http://schemas.openxmlformats.org/officeDocument/2006/relationships/hyperlink" Target="https://eur-lex.europa.eu/legal-content/en/TXT/?uri=CELEX%3A32016R1238" TargetMode="External"/><Relationship Id="rId15" Type="http://schemas.openxmlformats.org/officeDocument/2006/relationships/hyperlink" Target="https://bfsa.egov.bg/wps/wcm/connect/bfsa.egov.bg19113/9b327f87-1f57-4606-a225-cba424cfba2d/NAREDBA_za_predostavqneto_na_informaciq_na_potrebitelite_za_hranite.pdf?MOD=AJPERES&amp;CVID=obfYt73" TargetMode="External"/><Relationship Id="rId318" Type="http://schemas.openxmlformats.org/officeDocument/2006/relationships/hyperlink" Target="https://business.hoogstraten.eu/en/fruit-vegetables/strawberries/" TargetMode="External"/><Relationship Id="rId525" Type="http://schemas.openxmlformats.org/officeDocument/2006/relationships/hyperlink" Target="https://www.oecd.org/agriculture/fruit-vegetables/publications/brochures/Brochure%20Passion%20Fruit%202023%20interactif%20%20%20Fiches%20V2.pdf" TargetMode="External"/><Relationship Id="rId732" Type="http://schemas.openxmlformats.org/officeDocument/2006/relationships/hyperlink" Target="https://unece.org/sites/default/files/2024-03/FFV-55_Chanterelles_2023_e.pdf" TargetMode="External"/><Relationship Id="rId99" Type="http://schemas.openxmlformats.org/officeDocument/2006/relationships/hyperlink" Target="https://ec.europa.eu/agriculture/eambrosia/geographical-indications-register/" TargetMode="External"/><Relationship Id="rId164" Type="http://schemas.openxmlformats.org/officeDocument/2006/relationships/hyperlink" Target="https://ec.europa.eu/agriculture/eambrosia/geographical-indications-register/" TargetMode="External"/><Relationship Id="rId371" Type="http://schemas.openxmlformats.org/officeDocument/2006/relationships/hyperlink" Target="https://www.fairforlife.org/pmws/indexDOM.php?client_id=fairforlife&amp;page_id=home&amp;lang_iso639=en" TargetMode="External"/><Relationship Id="rId469" Type="http://schemas.openxmlformats.org/officeDocument/2006/relationships/hyperlink" Target="https://www.oecd-ilibrary.org/docserver/9789264272941-en-fr.pdf?expires=1714684325&amp;id=id&amp;accname=guest&amp;checksum=51E7DB1330BBA930286B91FBC4337913" TargetMode="External"/><Relationship Id="rId676" Type="http://schemas.openxmlformats.org/officeDocument/2006/relationships/hyperlink" Target="https://read.oecd-ilibrary.org/agriculture-and-food/cultivated-mushrooms_9789264013261-en-fr" TargetMode="External"/><Relationship Id="rId883" Type="http://schemas.openxmlformats.org/officeDocument/2006/relationships/hyperlink" Target="https://eur-lex.europa.eu/legal-content/EN/TXT/?uri=CELEX%3A02011R0543-20221024&amp;qid=1681464333326" TargetMode="External"/><Relationship Id="rId26" Type="http://schemas.openxmlformats.org/officeDocument/2006/relationships/hyperlink" Target="https://pisrs.si/pregledPredpisa?id=PRAV13210" TargetMode="External"/><Relationship Id="rId231" Type="http://schemas.openxmlformats.org/officeDocument/2006/relationships/hyperlink" Target="https://ec.europa.eu/agriculture/eambrosia/geographical-indications-register/" TargetMode="External"/><Relationship Id="rId329" Type="http://schemas.openxmlformats.org/officeDocument/2006/relationships/hyperlink" Target="https://www.truiteservice.com/qualite-truites-fraiches-pat/" TargetMode="External"/><Relationship Id="rId536" Type="http://schemas.openxmlformats.org/officeDocument/2006/relationships/hyperlink" Target="https://www.oecd-ilibrary.org/docserver/dda2dfce-en-fr.pdf?expires=1714684906&amp;id=id&amp;accname=guest&amp;checksum=F9E18B0470BCBB1240457C7D3BA41C20" TargetMode="External"/><Relationship Id="rId175" Type="http://schemas.openxmlformats.org/officeDocument/2006/relationships/hyperlink" Target="https://ec.europa.eu/agriculture/eambrosia/geographical-indications-register/" TargetMode="External"/><Relationship Id="rId743" Type="http://schemas.openxmlformats.org/officeDocument/2006/relationships/hyperlink" Target="https://unece.org/sites/default/files/2023-12/FFV-65_Certain_small_fruits_2023_e_0.pdf" TargetMode="External"/><Relationship Id="rId950" Type="http://schemas.openxmlformats.org/officeDocument/2006/relationships/hyperlink" Target="https://www.greatitalianfoodtrade.it/en/markets/eggs-minimal-variations-to-EU-marketing-standards/" TargetMode="External"/><Relationship Id="rId382" Type="http://schemas.openxmlformats.org/officeDocument/2006/relationships/hyperlink" Target="https://www.fao.org/fao-who-codexalimentarius/sh-proxy/en/?lnk=1&amp;url=https%253A%252F%252Fworkspace.fao.org%252Fsites%252Fcodex%252FStandards%252FCXS%2B184-1993%252FCXS_184e.pdf" TargetMode="External"/><Relationship Id="rId603" Type="http://schemas.openxmlformats.org/officeDocument/2006/relationships/hyperlink" Target="https://read.oecd-ilibrary.org/agriculture-and-food/avocados_44a6e19b-en-fr-es" TargetMode="External"/><Relationship Id="rId687" Type="http://schemas.openxmlformats.org/officeDocument/2006/relationships/hyperlink" Target="https://unece.org/sites/default/files/2024-03/FFV-57_Berry_fruits_2023_e.pdf" TargetMode="External"/><Relationship Id="rId810" Type="http://schemas.openxmlformats.org/officeDocument/2006/relationships/hyperlink" Target="https://unece.org/sites/default/files/2024-03/FFV-12_Ribbed_celery_2023_e.pdf" TargetMode="External"/><Relationship Id="rId908" Type="http://schemas.openxmlformats.org/officeDocument/2006/relationships/hyperlink" Target="https://eur-lex.europa.eu/legal-content/EN/TXT/?uri=CELEX%3A02011R0543-20221024&amp;qid=1681464333326" TargetMode="External"/><Relationship Id="rId242" Type="http://schemas.openxmlformats.org/officeDocument/2006/relationships/hyperlink" Target="https://ec.europa.eu/agriculture/eambrosia/geographical-indications-register/" TargetMode="External"/><Relationship Id="rId894" Type="http://schemas.openxmlformats.org/officeDocument/2006/relationships/hyperlink" Target="https://eur-lex.europa.eu/legal-content/EN/TXT/?uri=CELEX%3A02011R0543-20221024&amp;qid=1681464333326" TargetMode="External"/><Relationship Id="rId37" Type="http://schemas.openxmlformats.org/officeDocument/2006/relationships/hyperlink" Target="https://narodne-novine.nn.hr/clanci/sluzbeni/2014_12_144_2700.html" TargetMode="External"/><Relationship Id="rId102" Type="http://schemas.openxmlformats.org/officeDocument/2006/relationships/hyperlink" Target="https://ec.europa.eu/agriculture/eambrosia/geographical-indications-register/" TargetMode="External"/><Relationship Id="rId547" Type="http://schemas.openxmlformats.org/officeDocument/2006/relationships/hyperlink" Target="https://read.oecd-ilibrary.org/agriculture-and-food/early-and-ware-potatoes_9789264068391-en-fr" TargetMode="External"/><Relationship Id="rId754" Type="http://schemas.openxmlformats.org/officeDocument/2006/relationships/hyperlink" Target="https://unece.org/sites/default/files/2024-03/FFV-54_Ceps_2023_e.pdf" TargetMode="External"/><Relationship Id="rId961" Type="http://schemas.openxmlformats.org/officeDocument/2006/relationships/hyperlink" Target="https://eur-lex.europa.eu/legal-content/EN/TXT/HTML/?uri=CELEX%3A52010DC0704" TargetMode="External"/><Relationship Id="rId90" Type="http://schemas.openxmlformats.org/officeDocument/2006/relationships/hyperlink" Target="https://ec.europa.eu/agriculture/eambrosia/geographical-indications-register/" TargetMode="External"/><Relationship Id="rId186" Type="http://schemas.openxmlformats.org/officeDocument/2006/relationships/hyperlink" Target="https://ec.europa.eu/agriculture/eambrosia/geographical-indications-register/" TargetMode="External"/><Relationship Id="rId393" Type="http://schemas.openxmlformats.org/officeDocument/2006/relationships/hyperlink" Target="https://www.fao.org/fao-who-codexalimentarius/sh-proxy/en/?lnk=1&amp;url=https%253A%252F%252Fworkspace.fao.org%252Fsites%252Fcodex%252FStandards%252FCXS%2B237-2003%252FCXS_237e.pdf" TargetMode="External"/><Relationship Id="rId407" Type="http://schemas.openxmlformats.org/officeDocument/2006/relationships/hyperlink" Target="https://www.fao.org/fao-who-codexalimentarius/sh-proxy/en/?lnk=1&amp;url=https%253A%252F%252Fworkspace.fao.org%252Fsites%252Fcodex%252FStandards%252FCXS%2B349-2022%252FCXS_349e.pdf" TargetMode="External"/><Relationship Id="rId614" Type="http://schemas.openxmlformats.org/officeDocument/2006/relationships/hyperlink" Target="https://www.oecd.org/agriculture/fruit-vegetables/publications/brochures/oecd-explanatory-brochure-on-bananas-brochure-interpretative-ocde-pour-les-bananes.pdf" TargetMode="External"/><Relationship Id="rId821" Type="http://schemas.openxmlformats.org/officeDocument/2006/relationships/hyperlink" Target="https://unece.org/sites/default/files/2023-12/FFV-39_Sweet_Chestnuts_2023_e.pdf" TargetMode="External"/><Relationship Id="rId253" Type="http://schemas.openxmlformats.org/officeDocument/2006/relationships/hyperlink" Target="https://ec.europa.eu/agriculture/eambrosia/geographical-indications-register/" TargetMode="External"/><Relationship Id="rId460" Type="http://schemas.openxmlformats.org/officeDocument/2006/relationships/hyperlink" Target="https://read.oecd-ilibrary.org/agriculture-and-food/fresh-figs_9789264234086-en-fr" TargetMode="External"/><Relationship Id="rId698" Type="http://schemas.openxmlformats.org/officeDocument/2006/relationships/hyperlink" Target="https://unece.org/sites/default/files/2024-03/FFV-08_Brussels_sprouts_2023_e.pdf" TargetMode="External"/><Relationship Id="rId919" Type="http://schemas.openxmlformats.org/officeDocument/2006/relationships/hyperlink" Target="https://eur-lex.europa.eu/legal-content/EN/TXT/?uri=CELEX%3A02011R0543-20221024&amp;qid=1681464333326" TargetMode="External"/><Relationship Id="rId48" Type="http://schemas.openxmlformats.org/officeDocument/2006/relationships/hyperlink" Target="https://www.originefrancegarantie.fr/annuaire-des-produits-certifies/categorie/agroalimentaire" TargetMode="External"/><Relationship Id="rId113" Type="http://schemas.openxmlformats.org/officeDocument/2006/relationships/hyperlink" Target="https://ec.europa.eu/agriculture/eambrosia/geographical-indications-register/" TargetMode="External"/><Relationship Id="rId320" Type="http://schemas.openxmlformats.org/officeDocument/2006/relationships/hyperlink" Target="https://www.flandersfruitsandvegetables.com/en/responsibly-fresh" TargetMode="External"/><Relationship Id="rId558" Type="http://schemas.openxmlformats.org/officeDocument/2006/relationships/hyperlink" Target="https://www.oecd-ilibrary.org/docserver/860574df-en-fr.pdf?expires=1714685131&amp;id=id&amp;accname=guest&amp;checksum=CD4C1445CF68EB45B9C0F10461F10A2D" TargetMode="External"/><Relationship Id="rId765" Type="http://schemas.openxmlformats.org/officeDocument/2006/relationships/hyperlink" Target="https://unece.org/sites/default/files/2024-03/FFV-41_Courgettes_2023_e.pdf" TargetMode="External"/><Relationship Id="rId197" Type="http://schemas.openxmlformats.org/officeDocument/2006/relationships/hyperlink" Target="https://ec.europa.eu/agriculture/eambrosia/geographical-indications-register/" TargetMode="External"/><Relationship Id="rId418" Type="http://schemas.openxmlformats.org/officeDocument/2006/relationships/hyperlink" Target="https://www.fao.org/fao-who-codexalimentarius/sh-proxy/en/?lnk=1&amp;url=https%253A%252F%252Fworkspace.fao.org%252Fsites%252Fcodex%252FStandards%252FCXS%2B171-1989%252FCXS_171e.pdf" TargetMode="External"/><Relationship Id="rId625" Type="http://schemas.openxmlformats.org/officeDocument/2006/relationships/hyperlink" Target="https://read.oecd-ilibrary.org/agriculture-and-food/beans_0bc40eec-en-fr" TargetMode="External"/><Relationship Id="rId832" Type="http://schemas.openxmlformats.org/officeDocument/2006/relationships/hyperlink" Target="https://unece.org/sites/default/files/2024-03/FFV-53_Truffles_2023_e.pdf" TargetMode="External"/><Relationship Id="rId264" Type="http://schemas.openxmlformats.org/officeDocument/2006/relationships/hyperlink" Target="https://ec.europa.eu/agriculture/eambrosia/geographical-indications-register/" TargetMode="External"/><Relationship Id="rId471" Type="http://schemas.openxmlformats.org/officeDocument/2006/relationships/hyperlink" Target="https://www.oecd-ilibrary.org/docserver/9789264272941-en-fr.pdf?expires=1714684325&amp;id=id&amp;accname=guest&amp;checksum=51E7DB1330BBA930286B91FBC4337913" TargetMode="External"/><Relationship Id="rId59" Type="http://schemas.openxmlformats.org/officeDocument/2006/relationships/hyperlink" Target="https://isap.sejm.gov.pl/isap.nsf/download.xsp/WDU20210000763/T/D20210763L.pdf" TargetMode="External"/><Relationship Id="rId124" Type="http://schemas.openxmlformats.org/officeDocument/2006/relationships/hyperlink" Target="https://ec.europa.eu/agriculture/eambrosia/geographical-indications-register/" TargetMode="External"/><Relationship Id="rId569" Type="http://schemas.openxmlformats.org/officeDocument/2006/relationships/hyperlink" Target="https://read.oecd-ilibrary.org/agriculture-and-food/shallots_9789264213265-en-fr" TargetMode="External"/><Relationship Id="rId776" Type="http://schemas.openxmlformats.org/officeDocument/2006/relationships/hyperlink" Target="https://unece.org/sites/default/files/2024-03/FFV-16_Fennel_2023_e.pdf" TargetMode="External"/><Relationship Id="rId331" Type="http://schemas.openxmlformats.org/officeDocument/2006/relationships/hyperlink" Target="https://www.natexbio.com/label-aquaculture-de-nos-regions/" TargetMode="External"/><Relationship Id="rId429" Type="http://schemas.openxmlformats.org/officeDocument/2006/relationships/hyperlink" Target="https://www.fao.org/fao-who-codexalimentarius/sh-proxy/en/?lnk=1&amp;url=https%253A%252F%252Fworkspace.fao.org%252Fsites%252Fcodex%252FStandards%252FCXS%2B311-2013%252FCXS_311e.pdf" TargetMode="External"/><Relationship Id="rId636" Type="http://schemas.openxmlformats.org/officeDocument/2006/relationships/hyperlink" Target="https://read.oecd-ilibrary.org/agriculture-and-food/carrots_9789264081871-en-fr" TargetMode="External"/><Relationship Id="rId843" Type="http://schemas.openxmlformats.org/officeDocument/2006/relationships/hyperlink" Target="https://unece.org/sites/default/files/2024-03/FFV-40_Rhubarb_2023_e.pdf" TargetMode="External"/><Relationship Id="rId275" Type="http://schemas.openxmlformats.org/officeDocument/2006/relationships/hyperlink" Target="https://info.agriculture.gouv.fr/gedei/site/bo-agri/document_administratif-a52ef180-16bd-421d-bd0a-d55dafe2d7ba/telechargement" TargetMode="External"/><Relationship Id="rId482" Type="http://schemas.openxmlformats.org/officeDocument/2006/relationships/hyperlink" Target="https://read.oecd-ilibrary.org/agriculture-and-food/inshell-hazelnuts-and-hazelnut-kernels_9789264166721-en-fr" TargetMode="External"/><Relationship Id="rId703" Type="http://schemas.openxmlformats.org/officeDocument/2006/relationships/hyperlink" Target="https://unece.org/sites/default/files/2024-03/FFV-09_Headed_cabbages_2023_e.pdf" TargetMode="External"/><Relationship Id="rId910" Type="http://schemas.openxmlformats.org/officeDocument/2006/relationships/hyperlink" Target="https://eur-lex.europa.eu/legal-content/EN/TXT/?uri=CELEX%3A02011R0543-20221024&amp;qid=1681464333326" TargetMode="External"/><Relationship Id="rId135" Type="http://schemas.openxmlformats.org/officeDocument/2006/relationships/hyperlink" Target="https://ec.europa.eu/agriculture/eambrosia/geographical-indications-register/" TargetMode="External"/><Relationship Id="rId342" Type="http://schemas.openxmlformats.org/officeDocument/2006/relationships/hyperlink" Target="https://info.coop.dk/media/1797/product-and-quality-requirements-for-indirect-goods-june-2020.pdf" TargetMode="External"/><Relationship Id="rId787" Type="http://schemas.openxmlformats.org/officeDocument/2006/relationships/hyperlink" Target="https://unece.org/sites/default/files/2023-12/FFV-27_Peas_2023_e.pdf" TargetMode="External"/><Relationship Id="rId202" Type="http://schemas.openxmlformats.org/officeDocument/2006/relationships/hyperlink" Target="https://ec.europa.eu/agriculture/eambrosia/geographical-indications-register/" TargetMode="External"/><Relationship Id="rId647" Type="http://schemas.openxmlformats.org/officeDocument/2006/relationships/hyperlink" Target="https://read.oecd-ilibrary.org/agriculture-and-food/chinese-cabbage_9789264248694-en-fr" TargetMode="External"/><Relationship Id="rId854" Type="http://schemas.openxmlformats.org/officeDocument/2006/relationships/hyperlink" Target="https://unece.org/sites/default/files/2024-03/FFV-23_Melons_2023_e.pdf" TargetMode="External"/><Relationship Id="rId286" Type="http://schemas.openxmlformats.org/officeDocument/2006/relationships/hyperlink" Target="https://bds-bg.org/bg/project/list?keywords=%D0%9F%D0%BB%D0%BE%D0%B4%D0%BE%D0%B2%D0%B5&amp;status%5B0%5D=IN_DEVELOPMENT&amp;status%5B1%5D=PUBLISHED&amp;operatorCommittee=1&amp;operatorStdType=3&amp;listMode=DEFAULT" TargetMode="External"/><Relationship Id="rId493" Type="http://schemas.openxmlformats.org/officeDocument/2006/relationships/hyperlink" Target="https://www.oecd-ilibrary.org/docserver/dbf45fde-en-fr.pdf?expires=1714684486&amp;id=id&amp;accname=guest&amp;checksum=8EBA4104DBC1C842B5F0A1AF67690B23" TargetMode="External"/><Relationship Id="rId507" Type="http://schemas.openxmlformats.org/officeDocument/2006/relationships/hyperlink" Target="https://read.oecd-ilibrary.org/agriculture-and-food/melons_9789264213289-en-fr" TargetMode="External"/><Relationship Id="rId714" Type="http://schemas.openxmlformats.org/officeDocument/2006/relationships/hyperlink" Target="https://unece.org/sites/default/files/2024-03/FFV-03_Artichokes_2023_e.pdf" TargetMode="External"/><Relationship Id="rId921" Type="http://schemas.openxmlformats.org/officeDocument/2006/relationships/hyperlink" Target="https://eur-lex.europa.eu/legal-content/EN/TXT/?uri=CELEX%3A02011R0543-20221024&amp;qid=1681464333326" TargetMode="External"/><Relationship Id="rId50" Type="http://schemas.openxmlformats.org/officeDocument/2006/relationships/hyperlink" Target="https://www.politicheagricole.it/flex/cm/pages/ServeBLOB.php/L/IT/IDPagina/3847" TargetMode="External"/><Relationship Id="rId146" Type="http://schemas.openxmlformats.org/officeDocument/2006/relationships/hyperlink" Target="https://ec.europa.eu/agriculture/eambrosia/geographical-indications-register/" TargetMode="External"/><Relationship Id="rId353" Type="http://schemas.openxmlformats.org/officeDocument/2006/relationships/hyperlink" Target="https://www.globalgap.org/" TargetMode="External"/><Relationship Id="rId560" Type="http://schemas.openxmlformats.org/officeDocument/2006/relationships/hyperlink" Target="https://www.oecd-ilibrary.org/docserver/860574df-en-fr.pdf?expires=1714685131&amp;id=id&amp;accname=guest&amp;checksum=CD4C1445CF68EB45B9C0F10461F10A2D" TargetMode="External"/><Relationship Id="rId798" Type="http://schemas.openxmlformats.org/officeDocument/2006/relationships/hyperlink" Target="https://unece.org/sites/default/files/2024-03/FFV-63_Persimmons_2023_e.pdf" TargetMode="External"/><Relationship Id="rId213" Type="http://schemas.openxmlformats.org/officeDocument/2006/relationships/hyperlink" Target="https://ec.europa.eu/agriculture/eambrosia/geographical-indications-register/" TargetMode="External"/><Relationship Id="rId420" Type="http://schemas.openxmlformats.org/officeDocument/2006/relationships/hyperlink" Target="https://www.fao.org/fao-who-codexalimentarius/sh-proxy/en/?lnk=1&amp;url=https%253A%252F%252Fworkspace.fao.org%252Fsites%252Fcodex%252FStandards%252FCXS%2B173-1989%252FCXS_173e.pdf" TargetMode="External"/><Relationship Id="rId658" Type="http://schemas.openxmlformats.org/officeDocument/2006/relationships/hyperlink" Target="https://read.oecd-ilibrary.org/agriculture-and-food/chicory_cf4b9857-en-fr" TargetMode="External"/><Relationship Id="rId865" Type="http://schemas.openxmlformats.org/officeDocument/2006/relationships/hyperlink" Target="https://unece.org/sites/default/files/2023-07/FFV-MinimumQuality_2020_e.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FC8F-A6FA-7B46-A4A6-CF573F2AA1A5}">
  <dimension ref="A11:C47"/>
  <sheetViews>
    <sheetView topLeftCell="A8" workbookViewId="0">
      <selection activeCell="B11" sqref="B11"/>
    </sheetView>
  </sheetViews>
  <sheetFormatPr defaultColWidth="11" defaultRowHeight="15.95"/>
  <cols>
    <col min="1" max="1" width="75.875" customWidth="1"/>
    <col min="2" max="2" width="75.625" customWidth="1"/>
    <col min="3" max="3" width="65" customWidth="1"/>
  </cols>
  <sheetData>
    <row r="11" spans="1:3" s="188" customFormat="1" ht="26.1">
      <c r="A11" s="188" t="s">
        <v>0</v>
      </c>
    </row>
    <row r="14" spans="1:3" s="189" customFormat="1" ht="21">
      <c r="A14" s="298" t="s">
        <v>1</v>
      </c>
      <c r="B14" s="298" t="s">
        <v>2</v>
      </c>
      <c r="C14" s="298" t="s">
        <v>3</v>
      </c>
    </row>
    <row r="16" spans="1:3" s="192" customFormat="1" ht="120">
      <c r="A16" s="193" t="s">
        <v>4</v>
      </c>
      <c r="B16" s="193" t="s">
        <v>5</v>
      </c>
      <c r="C16" s="296" t="s">
        <v>6</v>
      </c>
    </row>
    <row r="17" spans="1:3" s="192" customFormat="1" ht="120">
      <c r="A17" s="193" t="s">
        <v>7</v>
      </c>
      <c r="B17" s="193" t="s">
        <v>5</v>
      </c>
      <c r="C17" s="296" t="s">
        <v>6</v>
      </c>
    </row>
    <row r="18" spans="1:3" s="192" customFormat="1" ht="60">
      <c r="A18" s="193" t="s">
        <v>8</v>
      </c>
      <c r="B18" s="193" t="s">
        <v>9</v>
      </c>
      <c r="C18" s="296" t="s">
        <v>10</v>
      </c>
    </row>
    <row r="19" spans="1:3" s="192" customFormat="1" ht="80.099999999999994">
      <c r="A19" s="193" t="s">
        <v>11</v>
      </c>
      <c r="B19" s="193" t="s">
        <v>5</v>
      </c>
      <c r="C19" s="296" t="s">
        <v>6</v>
      </c>
    </row>
    <row r="20" spans="1:3" s="192" customFormat="1" ht="80.099999999999994">
      <c r="A20" s="193" t="s">
        <v>12</v>
      </c>
      <c r="B20" s="193" t="s">
        <v>5</v>
      </c>
      <c r="C20" s="296" t="s">
        <v>6</v>
      </c>
    </row>
    <row r="21" spans="1:3" s="192" customFormat="1" ht="80.099999999999994">
      <c r="A21" s="193" t="s">
        <v>13</v>
      </c>
      <c r="B21" s="193" t="s">
        <v>14</v>
      </c>
      <c r="C21" s="296" t="s">
        <v>6</v>
      </c>
    </row>
    <row r="22" spans="1:3" s="192" customFormat="1" ht="18.95">
      <c r="A22" s="193"/>
      <c r="B22" s="193"/>
    </row>
    <row r="24" spans="1:3" s="189" customFormat="1" ht="21.95">
      <c r="A24" s="299" t="s">
        <v>15</v>
      </c>
      <c r="B24" s="299" t="s">
        <v>2</v>
      </c>
      <c r="C24" s="298" t="s">
        <v>3</v>
      </c>
    </row>
    <row r="26" spans="1:3" s="192" customFormat="1" ht="360">
      <c r="A26" s="193" t="s">
        <v>16</v>
      </c>
      <c r="B26" s="193" t="s">
        <v>17</v>
      </c>
      <c r="C26" s="296" t="s">
        <v>18</v>
      </c>
    </row>
    <row r="27" spans="1:3">
      <c r="C27" s="194"/>
    </row>
    <row r="29" spans="1:3" s="189" customFormat="1" ht="21">
      <c r="A29" s="298" t="s">
        <v>19</v>
      </c>
      <c r="B29" s="298" t="s">
        <v>2</v>
      </c>
      <c r="C29" s="298" t="s">
        <v>3</v>
      </c>
    </row>
    <row r="31" spans="1:3" s="192" customFormat="1" ht="120">
      <c r="A31" s="193" t="s">
        <v>20</v>
      </c>
      <c r="B31" s="192" t="s">
        <v>21</v>
      </c>
      <c r="C31" s="296" t="s">
        <v>22</v>
      </c>
    </row>
    <row r="32" spans="1:3" s="192" customFormat="1" ht="18.95">
      <c r="A32" s="190"/>
      <c r="B32" s="195"/>
      <c r="C32" s="191"/>
    </row>
    <row r="33" spans="1:3" s="192" customFormat="1" ht="18.95"/>
    <row r="34" spans="1:3" s="189" customFormat="1" ht="21">
      <c r="A34" s="298" t="s">
        <v>23</v>
      </c>
      <c r="B34" s="298" t="s">
        <v>2</v>
      </c>
      <c r="C34" s="298" t="s">
        <v>3</v>
      </c>
    </row>
    <row r="35" spans="1:3" s="189" customFormat="1" ht="21"/>
    <row r="36" spans="1:3" s="192" customFormat="1" ht="180">
      <c r="A36" s="193" t="s">
        <v>24</v>
      </c>
      <c r="B36" s="193" t="s">
        <v>25</v>
      </c>
      <c r="C36" s="297" t="s">
        <v>18</v>
      </c>
    </row>
    <row r="37" spans="1:3" s="192" customFormat="1" ht="80.099999999999994">
      <c r="A37" s="193" t="s">
        <v>26</v>
      </c>
      <c r="B37" s="192" t="s">
        <v>27</v>
      </c>
    </row>
    <row r="38" spans="1:3" s="192" customFormat="1" ht="120">
      <c r="A38" s="193" t="s">
        <v>28</v>
      </c>
      <c r="B38" s="192" t="s">
        <v>27</v>
      </c>
    </row>
    <row r="39" spans="1:3" s="192" customFormat="1" ht="140.1">
      <c r="A39" s="193" t="s">
        <v>29</v>
      </c>
      <c r="B39" s="193" t="s">
        <v>30</v>
      </c>
    </row>
    <row r="40" spans="1:3" s="192" customFormat="1" ht="18.95"/>
    <row r="42" spans="1:3" s="196" customFormat="1" ht="21">
      <c r="A42" s="298" t="s">
        <v>31</v>
      </c>
      <c r="B42" s="298" t="s">
        <v>2</v>
      </c>
    </row>
    <row r="43" spans="1:3" s="196" customFormat="1" ht="21"/>
    <row r="44" spans="1:3" ht="39.950000000000003">
      <c r="A44" s="193" t="s">
        <v>32</v>
      </c>
      <c r="B44" s="193" t="s">
        <v>33</v>
      </c>
    </row>
    <row r="45" spans="1:3" s="192" customFormat="1" ht="39.950000000000003">
      <c r="A45" s="192" t="s">
        <v>34</v>
      </c>
      <c r="B45" s="193" t="s">
        <v>35</v>
      </c>
    </row>
    <row r="46" spans="1:3" s="192" customFormat="1" ht="39.950000000000003">
      <c r="A46" s="193" t="s">
        <v>36</v>
      </c>
      <c r="B46" s="193" t="s">
        <v>33</v>
      </c>
    </row>
    <row r="47" spans="1:3" s="192" customFormat="1" ht="99.95">
      <c r="A47" s="197" t="s">
        <v>37</v>
      </c>
      <c r="B47" s="193" t="s">
        <v>38</v>
      </c>
    </row>
  </sheetData>
  <hyperlinks>
    <hyperlink ref="C26" r:id="rId1" xr:uid="{5B96E5FF-B175-BA4F-AB76-74E3B8173CCD}"/>
    <hyperlink ref="C16" r:id="rId2" xr:uid="{BFC58244-2035-F54F-AA43-5AD8919D3808}"/>
    <hyperlink ref="C17" r:id="rId3" xr:uid="{EAB01928-A5BF-4649-87A7-0C9A94690A30}"/>
    <hyperlink ref="C19" r:id="rId4" xr:uid="{160BC43E-7404-BA4B-B1E7-6FD4443A875F}"/>
    <hyperlink ref="C20" r:id="rId5" xr:uid="{4E587FCD-44C5-5546-B862-FF2A9520BBA9}"/>
    <hyperlink ref="C21" r:id="rId6" xr:uid="{B906E57E-BF67-4F46-86CC-AF5D6D788A2D}"/>
    <hyperlink ref="C31" r:id="rId7" xr:uid="{42BF3C80-26CB-4743-95A6-4B0456EB957F}"/>
    <hyperlink ref="C36" r:id="rId8" xr:uid="{8E37C5CF-F569-3048-B32F-FB00D4F5CAB1}"/>
    <hyperlink ref="C18" r:id="rId9" xr:uid="{4231D8C8-5DE1-4E47-8D27-3C910382AB77}"/>
  </hyperlinks>
  <pageMargins left="0.7" right="0.7" top="0.75" bottom="0.75" header="0.3" footer="0.3"/>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276E-D5C4-DB43-8338-6D8E4565CE1A}">
  <dimension ref="A2:ACQ1795"/>
  <sheetViews>
    <sheetView tabSelected="1" topLeftCell="A1782" zoomScale="75" zoomScaleNormal="52" workbookViewId="0">
      <selection activeCell="F14" sqref="F14"/>
    </sheetView>
  </sheetViews>
  <sheetFormatPr defaultColWidth="11" defaultRowHeight="15.95"/>
  <cols>
    <col min="1" max="1" width="11" style="20"/>
    <col min="2" max="2" width="56.125" style="21" bestFit="1" customWidth="1"/>
    <col min="3" max="3" width="9.875" style="22" customWidth="1"/>
    <col min="4" max="4" width="32.125" style="21" customWidth="1"/>
    <col min="5" max="5" width="10" style="22" customWidth="1"/>
    <col min="6" max="6" width="21.5" style="23" customWidth="1"/>
    <col min="7" max="7" width="10.875" style="20" customWidth="1"/>
    <col min="8" max="8" width="32.625" style="21" customWidth="1"/>
    <col min="9" max="9" width="11" style="20" customWidth="1"/>
    <col min="10" max="10" width="25.375" style="21" customWidth="1"/>
    <col min="11" max="11" width="10" style="20" customWidth="1"/>
    <col min="12" max="12" width="23.625" style="21" customWidth="1"/>
    <col min="13" max="13" width="11" style="20" customWidth="1"/>
    <col min="14" max="14" width="56.625" style="21" customWidth="1"/>
    <col min="15" max="15" width="11" style="20" customWidth="1"/>
    <col min="16" max="16" width="59.875" style="21" customWidth="1"/>
    <col min="17" max="17" width="14.375" style="20" customWidth="1"/>
    <col min="18" max="18" width="135.125" style="21" customWidth="1"/>
    <col min="19" max="19" width="11" style="22" customWidth="1"/>
    <col min="20" max="20" width="54.375" style="24" customWidth="1"/>
    <col min="21" max="21" width="10.375" style="25" customWidth="1"/>
    <col min="22" max="22" width="22.875" style="26" customWidth="1"/>
    <col min="23" max="23" width="14.375" style="27" customWidth="1"/>
    <col min="24" max="24" width="22.875" style="26" customWidth="1"/>
    <col min="25" max="25" width="14.375" style="28" customWidth="1"/>
    <col min="26" max="26" width="22.875" style="26" customWidth="1"/>
    <col min="27" max="27" width="10.375" style="27" customWidth="1"/>
    <col min="28" max="28" width="22.875" style="26" customWidth="1"/>
    <col min="29" max="29" width="14.375" style="25" customWidth="1"/>
    <col min="30" max="30" width="68" style="23" customWidth="1"/>
    <col min="31" max="37" width="11" style="20" customWidth="1"/>
    <col min="38" max="38" width="11.5" style="20" customWidth="1"/>
    <col min="39" max="57" width="11" style="20"/>
    <col min="58" max="58" width="11.125" style="20" customWidth="1"/>
    <col min="59" max="125" width="11" style="20"/>
    <col min="126" max="126" width="12.375" style="20" customWidth="1"/>
    <col min="127" max="185" width="11" style="20"/>
    <col min="186" max="186" width="11.125" style="20" customWidth="1"/>
    <col min="187" max="16384" width="11" style="20"/>
  </cols>
  <sheetData>
    <row r="2" spans="1:227" s="1" customFormat="1">
      <c r="B2" s="2"/>
      <c r="C2" s="3"/>
      <c r="D2" s="2"/>
      <c r="E2" s="3"/>
      <c r="F2" s="4"/>
      <c r="H2" s="2"/>
      <c r="J2" s="2"/>
      <c r="L2" s="2"/>
      <c r="N2" s="2"/>
      <c r="P2" s="2"/>
      <c r="R2" s="2"/>
      <c r="S2" s="3"/>
      <c r="T2" s="5"/>
      <c r="U2" s="6"/>
      <c r="V2" s="7"/>
      <c r="W2" s="8"/>
      <c r="X2" s="7"/>
      <c r="Y2" s="9"/>
      <c r="Z2" s="7"/>
      <c r="AA2" s="8"/>
      <c r="AB2" s="7"/>
      <c r="AC2" s="6"/>
      <c r="AD2" s="4"/>
    </row>
    <row r="4" spans="1:227">
      <c r="B4" s="20"/>
    </row>
    <row r="6" spans="1:227" s="188" customFormat="1" ht="26.1">
      <c r="A6" s="300" t="s">
        <v>39</v>
      </c>
      <c r="B6" s="301"/>
      <c r="C6" s="300"/>
      <c r="D6" s="301"/>
      <c r="E6" s="300"/>
      <c r="F6" s="301"/>
      <c r="G6" s="300"/>
      <c r="H6" s="301"/>
      <c r="I6" s="300"/>
      <c r="J6" s="301"/>
      <c r="K6" s="300"/>
      <c r="L6" s="301"/>
      <c r="M6" s="300"/>
      <c r="N6" s="301"/>
      <c r="O6" s="300"/>
      <c r="P6" s="301"/>
      <c r="Q6" s="300"/>
      <c r="R6" s="301"/>
      <c r="S6" s="300"/>
      <c r="T6" s="302"/>
      <c r="U6" s="300"/>
      <c r="V6" s="303"/>
      <c r="W6" s="304"/>
      <c r="X6" s="304"/>
      <c r="Y6" s="304"/>
      <c r="Z6" s="304"/>
      <c r="AA6" s="304"/>
      <c r="AB6" s="304"/>
      <c r="AC6" s="304"/>
      <c r="AD6" s="300"/>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row>
    <row r="7" spans="1:227" s="14" customFormat="1" ht="26.1">
      <c r="A7" s="10"/>
      <c r="B7" s="11"/>
      <c r="C7" s="12"/>
      <c r="D7" s="11"/>
      <c r="E7" s="12"/>
      <c r="F7" s="13"/>
      <c r="H7" s="11"/>
      <c r="J7" s="11"/>
      <c r="L7" s="11"/>
      <c r="N7" s="11"/>
      <c r="P7" s="11"/>
      <c r="R7" s="11"/>
      <c r="S7" s="12"/>
      <c r="T7" s="15"/>
      <c r="U7" s="16"/>
      <c r="V7" s="17"/>
      <c r="W7" s="18"/>
      <c r="X7" s="17"/>
      <c r="Y7" s="19"/>
      <c r="Z7" s="17"/>
      <c r="AA7" s="18"/>
      <c r="AB7" s="17"/>
      <c r="AC7" s="16"/>
      <c r="AD7" s="13"/>
    </row>
    <row r="8" spans="1:227" ht="23.1" customHeight="1"/>
    <row r="9" spans="1:227" s="34" customFormat="1" ht="18.95">
      <c r="A9" s="29" t="s">
        <v>40</v>
      </c>
      <c r="B9" s="30"/>
      <c r="C9" s="31"/>
      <c r="D9" s="32"/>
      <c r="E9" s="31"/>
      <c r="F9" s="33"/>
      <c r="H9" s="32"/>
      <c r="J9" s="32"/>
      <c r="L9" s="32"/>
      <c r="N9" s="32"/>
      <c r="P9" s="32"/>
      <c r="R9" s="32"/>
      <c r="S9" s="31"/>
      <c r="T9" s="35"/>
      <c r="U9" s="36"/>
      <c r="V9" s="37"/>
      <c r="W9" s="38"/>
      <c r="X9" s="37"/>
      <c r="Y9" s="39"/>
      <c r="Z9" s="37"/>
      <c r="AA9" s="38"/>
      <c r="AB9" s="37"/>
      <c r="AC9" s="36"/>
      <c r="AD9" s="33"/>
    </row>
    <row r="10" spans="1:227" s="34" customFormat="1" ht="18.95">
      <c r="A10" s="40" t="s">
        <v>41</v>
      </c>
      <c r="B10" s="41"/>
      <c r="C10" s="31"/>
      <c r="D10" s="32"/>
      <c r="E10" s="31"/>
      <c r="F10" s="33"/>
      <c r="H10" s="32"/>
      <c r="J10" s="32"/>
      <c r="L10" s="32"/>
      <c r="N10" s="32"/>
      <c r="P10" s="32"/>
      <c r="R10" s="32"/>
      <c r="S10" s="31"/>
      <c r="T10" s="35"/>
      <c r="U10" s="36"/>
      <c r="V10" s="37"/>
      <c r="W10" s="38"/>
      <c r="X10" s="37"/>
      <c r="Y10" s="39"/>
      <c r="Z10" s="37"/>
      <c r="AA10" s="38"/>
      <c r="AB10" s="37"/>
      <c r="AC10" s="36"/>
      <c r="AD10" s="33"/>
    </row>
    <row r="11" spans="1:227" s="209" customFormat="1" ht="18.95">
      <c r="A11" s="34"/>
      <c r="B11" s="32"/>
      <c r="C11" s="34"/>
      <c r="D11" s="200"/>
      <c r="E11" s="201"/>
      <c r="F11" s="202"/>
      <c r="G11" s="201"/>
      <c r="H11" s="202"/>
      <c r="I11" s="201"/>
      <c r="J11" s="202"/>
      <c r="K11" s="201"/>
      <c r="L11" s="203"/>
      <c r="M11" s="201"/>
      <c r="N11" s="203"/>
      <c r="O11" s="201"/>
      <c r="P11" s="204"/>
      <c r="Q11" s="201"/>
      <c r="R11" s="203"/>
      <c r="S11" s="201"/>
      <c r="T11" s="205"/>
      <c r="U11" s="201"/>
      <c r="V11" s="201"/>
      <c r="W11" s="201"/>
      <c r="X11" s="201"/>
      <c r="Y11" s="206"/>
      <c r="Z11" s="206"/>
      <c r="AA11" s="206"/>
      <c r="AB11" s="206"/>
      <c r="AC11" s="206"/>
      <c r="AD11" s="207"/>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row>
    <row r="13" spans="1:227" s="42" customFormat="1">
      <c r="B13" s="43"/>
      <c r="C13" s="44"/>
      <c r="D13" s="43"/>
      <c r="E13" s="44"/>
      <c r="F13" s="45"/>
      <c r="H13" s="43"/>
      <c r="J13" s="43"/>
      <c r="L13" s="43"/>
      <c r="N13" s="43"/>
      <c r="P13" s="43"/>
      <c r="R13" s="43"/>
      <c r="S13" s="44"/>
      <c r="T13" s="46"/>
      <c r="U13" s="47"/>
      <c r="V13" s="48"/>
      <c r="W13" s="49"/>
      <c r="X13" s="48"/>
      <c r="Y13" s="50"/>
      <c r="Z13" s="48"/>
      <c r="AA13" s="49"/>
      <c r="AB13" s="48"/>
      <c r="AC13" s="47"/>
      <c r="AD13" s="45"/>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row>
    <row r="14" spans="1:227" s="9" customFormat="1" ht="33.950000000000003">
      <c r="A14" s="51"/>
      <c r="B14" s="52" t="s">
        <v>42</v>
      </c>
      <c r="C14" s="53"/>
      <c r="D14" s="52" t="s">
        <v>43</v>
      </c>
      <c r="E14" s="53"/>
      <c r="F14" s="52" t="s">
        <v>44</v>
      </c>
      <c r="H14" s="52" t="s">
        <v>45</v>
      </c>
      <c r="J14" s="52" t="s">
        <v>46</v>
      </c>
      <c r="L14" s="52" t="s">
        <v>47</v>
      </c>
      <c r="N14" s="52" t="s">
        <v>1</v>
      </c>
      <c r="P14" s="52" t="s">
        <v>48</v>
      </c>
      <c r="R14" s="52" t="s">
        <v>49</v>
      </c>
      <c r="S14" s="53"/>
      <c r="T14" s="54" t="s">
        <v>50</v>
      </c>
      <c r="U14" s="8"/>
      <c r="V14" s="51" t="s">
        <v>51</v>
      </c>
      <c r="W14" s="8"/>
      <c r="X14" s="51" t="s">
        <v>52</v>
      </c>
      <c r="Z14" s="51" t="s">
        <v>53</v>
      </c>
      <c r="AA14" s="8"/>
      <c r="AB14" s="51" t="s">
        <v>54</v>
      </c>
      <c r="AD14" s="52" t="s">
        <v>55</v>
      </c>
    </row>
    <row r="15" spans="1:227" s="42" customFormat="1">
      <c r="B15" s="43"/>
      <c r="C15" s="44"/>
      <c r="D15" s="43"/>
      <c r="E15" s="44"/>
      <c r="F15" s="45"/>
      <c r="H15" s="43"/>
      <c r="J15" s="43"/>
      <c r="L15" s="43"/>
      <c r="N15" s="43"/>
      <c r="P15" s="43"/>
      <c r="R15" s="43"/>
      <c r="S15" s="44"/>
      <c r="T15" s="46"/>
      <c r="U15" s="47"/>
      <c r="V15" s="48"/>
      <c r="W15" s="49"/>
      <c r="X15" s="48"/>
      <c r="Y15" s="50"/>
      <c r="Z15" s="48"/>
      <c r="AA15" s="49"/>
      <c r="AB15" s="48"/>
      <c r="AD15" s="45"/>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row>
    <row r="16" spans="1:227" ht="106.35" customHeight="1">
      <c r="A16" s="55"/>
      <c r="B16" s="23" t="s">
        <v>56</v>
      </c>
      <c r="D16" s="23" t="s">
        <v>57</v>
      </c>
      <c r="F16" s="23" t="s">
        <v>58</v>
      </c>
      <c r="H16" s="21" t="s">
        <v>59</v>
      </c>
      <c r="J16" s="21" t="s">
        <v>60</v>
      </c>
      <c r="L16" s="21" t="s">
        <v>61</v>
      </c>
      <c r="N16" s="21" t="s">
        <v>62</v>
      </c>
      <c r="P16" s="21" t="s">
        <v>63</v>
      </c>
      <c r="R16" s="23" t="s">
        <v>64</v>
      </c>
      <c r="T16" s="56" t="s">
        <v>65</v>
      </c>
      <c r="V16" s="23" t="s">
        <v>66</v>
      </c>
      <c r="X16" s="23" t="s">
        <v>67</v>
      </c>
      <c r="Z16" s="23" t="s">
        <v>68</v>
      </c>
      <c r="AB16" s="23" t="s">
        <v>69</v>
      </c>
    </row>
    <row r="17" spans="1:771" s="42" customFormat="1">
      <c r="B17" s="43"/>
      <c r="C17" s="44"/>
      <c r="D17" s="43"/>
      <c r="E17" s="44"/>
      <c r="F17" s="45"/>
      <c r="H17" s="43"/>
      <c r="J17" s="43"/>
      <c r="L17" s="43"/>
      <c r="N17" s="43"/>
      <c r="P17" s="43"/>
      <c r="R17" s="43"/>
      <c r="S17" s="44"/>
      <c r="T17" s="46"/>
      <c r="U17" s="47"/>
      <c r="V17" s="48"/>
      <c r="W17" s="49"/>
      <c r="X17" s="48"/>
      <c r="Y17" s="50"/>
      <c r="Z17" s="48"/>
      <c r="AA17" s="49"/>
      <c r="AB17" s="48"/>
      <c r="AD17" s="45"/>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row>
    <row r="18" spans="1:771" s="62" customFormat="1" ht="170.1">
      <c r="A18" s="20"/>
      <c r="B18" s="61" t="s">
        <v>70</v>
      </c>
      <c r="D18" s="61" t="s">
        <v>71</v>
      </c>
      <c r="F18" s="63" t="s">
        <v>71</v>
      </c>
      <c r="H18" s="61" t="s">
        <v>72</v>
      </c>
      <c r="J18" s="61" t="s">
        <v>73</v>
      </c>
      <c r="L18" s="61" t="s">
        <v>74</v>
      </c>
      <c r="N18" s="61" t="s">
        <v>75</v>
      </c>
      <c r="P18" s="61" t="s">
        <v>76</v>
      </c>
      <c r="R18" s="61" t="s">
        <v>77</v>
      </c>
      <c r="T18" s="65" t="s">
        <v>78</v>
      </c>
      <c r="U18" s="87"/>
      <c r="V18" s="67" t="s">
        <v>79</v>
      </c>
      <c r="W18" s="66"/>
      <c r="X18" s="67" t="s">
        <v>80</v>
      </c>
      <c r="Y18" s="88"/>
      <c r="Z18" s="67" t="s">
        <v>79</v>
      </c>
      <c r="AA18" s="66"/>
      <c r="AB18" s="90" t="s">
        <v>81</v>
      </c>
      <c r="AD18" s="63" t="s">
        <v>82</v>
      </c>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row>
    <row r="19" spans="1:771" s="62" customFormat="1" ht="72.95" customHeight="1">
      <c r="A19" s="20"/>
      <c r="B19" s="61" t="s">
        <v>83</v>
      </c>
      <c r="D19" s="61" t="s">
        <v>71</v>
      </c>
      <c r="F19" s="63" t="s">
        <v>71</v>
      </c>
      <c r="H19" s="61" t="s">
        <v>72</v>
      </c>
      <c r="J19" s="61" t="s">
        <v>73</v>
      </c>
      <c r="L19" s="61" t="s">
        <v>74</v>
      </c>
      <c r="N19" s="61" t="s">
        <v>75</v>
      </c>
      <c r="P19" s="61" t="s">
        <v>84</v>
      </c>
      <c r="R19" s="61" t="s">
        <v>77</v>
      </c>
      <c r="T19" s="75" t="s">
        <v>78</v>
      </c>
      <c r="U19" s="87"/>
      <c r="V19" s="67" t="s">
        <v>79</v>
      </c>
      <c r="W19" s="66"/>
      <c r="X19" s="67" t="s">
        <v>80</v>
      </c>
      <c r="Y19" s="88"/>
      <c r="Z19" s="67" t="s">
        <v>79</v>
      </c>
      <c r="AA19" s="66"/>
      <c r="AB19" s="90" t="s">
        <v>81</v>
      </c>
      <c r="AD19" s="63" t="s">
        <v>85</v>
      </c>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row>
    <row r="20" spans="1:771" s="62" customFormat="1" ht="72.95" customHeight="1">
      <c r="A20" s="20"/>
      <c r="B20" s="61" t="s">
        <v>86</v>
      </c>
      <c r="D20" s="61" t="s">
        <v>71</v>
      </c>
      <c r="F20" s="63" t="s">
        <v>87</v>
      </c>
      <c r="H20" s="61" t="s">
        <v>88</v>
      </c>
      <c r="J20" s="61" t="s">
        <v>89</v>
      </c>
      <c r="L20" s="61" t="s">
        <v>74</v>
      </c>
      <c r="N20" s="61" t="s">
        <v>75</v>
      </c>
      <c r="P20" s="61" t="s">
        <v>90</v>
      </c>
      <c r="R20" s="61" t="s">
        <v>77</v>
      </c>
      <c r="T20" s="75" t="s">
        <v>91</v>
      </c>
      <c r="U20" s="87"/>
      <c r="V20" s="67" t="s">
        <v>79</v>
      </c>
      <c r="W20" s="66"/>
      <c r="X20" s="67" t="s">
        <v>92</v>
      </c>
      <c r="Y20" s="88"/>
      <c r="Z20" s="67" t="s">
        <v>79</v>
      </c>
      <c r="AA20" s="66"/>
      <c r="AB20" s="90" t="s">
        <v>81</v>
      </c>
      <c r="AD20" s="63" t="s">
        <v>93</v>
      </c>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row>
    <row r="21" spans="1:771" s="62" customFormat="1" ht="162.94999999999999" customHeight="1">
      <c r="A21" s="20"/>
      <c r="B21" s="61" t="s">
        <v>94</v>
      </c>
      <c r="D21" s="61" t="s">
        <v>71</v>
      </c>
      <c r="F21" s="63" t="s">
        <v>71</v>
      </c>
      <c r="H21" s="61" t="s">
        <v>95</v>
      </c>
      <c r="J21" s="61" t="s">
        <v>73</v>
      </c>
      <c r="L21" s="61" t="s">
        <v>74</v>
      </c>
      <c r="N21" s="61" t="s">
        <v>96</v>
      </c>
      <c r="P21" s="61" t="s">
        <v>97</v>
      </c>
      <c r="R21" s="61" t="s">
        <v>77</v>
      </c>
      <c r="T21" s="65" t="s">
        <v>98</v>
      </c>
      <c r="U21" s="87"/>
      <c r="V21" s="67" t="s">
        <v>79</v>
      </c>
      <c r="W21" s="69"/>
      <c r="X21" s="67" t="s">
        <v>80</v>
      </c>
      <c r="Y21" s="88"/>
      <c r="Z21" s="67" t="s">
        <v>79</v>
      </c>
      <c r="AA21" s="66"/>
      <c r="AB21" s="90" t="s">
        <v>99</v>
      </c>
      <c r="AD21" s="63" t="s">
        <v>100</v>
      </c>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row>
    <row r="22" spans="1:771" s="115" customFormat="1" ht="102">
      <c r="A22" s="83"/>
      <c r="B22" s="109" t="s">
        <v>101</v>
      </c>
      <c r="C22" s="110"/>
      <c r="D22" s="109" t="s">
        <v>71</v>
      </c>
      <c r="E22" s="110"/>
      <c r="F22" s="109" t="s">
        <v>71</v>
      </c>
      <c r="G22" s="110"/>
      <c r="H22" s="109" t="s">
        <v>102</v>
      </c>
      <c r="I22" s="110"/>
      <c r="J22" s="109" t="s">
        <v>73</v>
      </c>
      <c r="K22" s="110"/>
      <c r="L22" s="61" t="s">
        <v>74</v>
      </c>
      <c r="M22" s="110"/>
      <c r="N22" s="109" t="s">
        <v>103</v>
      </c>
      <c r="O22" s="110"/>
      <c r="P22" s="109" t="s">
        <v>104</v>
      </c>
      <c r="Q22" s="110"/>
      <c r="R22" s="111" t="s">
        <v>105</v>
      </c>
      <c r="S22" s="110"/>
      <c r="T22" s="112" t="s">
        <v>106</v>
      </c>
      <c r="U22" s="113"/>
      <c r="V22" s="67" t="s">
        <v>79</v>
      </c>
      <c r="W22" s="68"/>
      <c r="X22" s="67" t="s">
        <v>80</v>
      </c>
      <c r="Y22" s="68"/>
      <c r="Z22" s="67" t="s">
        <v>79</v>
      </c>
      <c r="AA22" s="68"/>
      <c r="AB22" s="109" t="s">
        <v>80</v>
      </c>
      <c r="AD22" s="109" t="s">
        <v>107</v>
      </c>
      <c r="AE22" s="83"/>
      <c r="AF22" s="83"/>
      <c r="AG22" s="83"/>
      <c r="AH22" s="83"/>
      <c r="AI22" s="83"/>
      <c r="AJ22" s="83"/>
      <c r="AK22" s="83"/>
      <c r="AL22" s="83"/>
      <c r="AM22" s="83"/>
      <c r="AN22" s="83"/>
      <c r="AO22" s="83"/>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c r="IW22" s="119"/>
      <c r="IX22" s="119"/>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19"/>
      <c r="NJ22" s="119"/>
      <c r="NK22" s="119"/>
      <c r="NL22" s="119"/>
      <c r="NM22" s="119"/>
      <c r="NN22" s="119"/>
      <c r="NO22" s="119"/>
      <c r="NP22" s="119"/>
      <c r="NQ22" s="119"/>
      <c r="NR22" s="119"/>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19"/>
      <c r="SD22" s="119"/>
      <c r="SE22" s="119"/>
      <c r="SF22" s="119"/>
      <c r="SG22" s="119"/>
      <c r="SH22" s="119"/>
      <c r="SI22" s="119"/>
      <c r="SJ22" s="119"/>
      <c r="SK22" s="119"/>
      <c r="SL22" s="119"/>
      <c r="SM22" s="119"/>
      <c r="SN22" s="119"/>
      <c r="SO22" s="119"/>
      <c r="SP22" s="119"/>
      <c r="SQ22" s="119"/>
      <c r="SR22" s="119"/>
      <c r="SS22" s="119"/>
      <c r="ST22" s="119"/>
      <c r="SU22" s="119"/>
      <c r="SV22" s="119"/>
      <c r="SW22" s="119"/>
      <c r="SX22" s="119"/>
      <c r="SY22" s="119"/>
      <c r="SZ22" s="119"/>
      <c r="TA22" s="119"/>
      <c r="TB22" s="119"/>
      <c r="TC22" s="119"/>
      <c r="TD22" s="119"/>
      <c r="TE22" s="119"/>
      <c r="TF22" s="119"/>
      <c r="TG22" s="119"/>
      <c r="TH22" s="119"/>
      <c r="TI22" s="119"/>
      <c r="TJ22" s="119"/>
      <c r="TK22" s="119"/>
      <c r="TL22" s="119"/>
      <c r="TM22" s="119"/>
      <c r="TN22" s="119"/>
      <c r="TO22" s="119"/>
      <c r="TP22" s="119"/>
      <c r="TQ22" s="119"/>
      <c r="TR22" s="119"/>
      <c r="TS22" s="119"/>
      <c r="TT22" s="119"/>
      <c r="TU22" s="119"/>
      <c r="TV22" s="119"/>
      <c r="TW22" s="119"/>
      <c r="TX22" s="119"/>
      <c r="TY22" s="119"/>
      <c r="TZ22" s="119"/>
      <c r="UA22" s="119"/>
      <c r="UB22" s="119"/>
      <c r="UC22" s="119"/>
      <c r="UD22" s="119"/>
      <c r="UE22" s="119"/>
      <c r="UF22" s="119"/>
      <c r="UG22" s="119"/>
      <c r="UH22" s="119"/>
      <c r="UI22" s="119"/>
      <c r="UJ22" s="119"/>
      <c r="UK22" s="119"/>
      <c r="UL22" s="119"/>
      <c r="UM22" s="119"/>
      <c r="UN22" s="119"/>
      <c r="UO22" s="119"/>
      <c r="UP22" s="119"/>
      <c r="UQ22" s="119"/>
      <c r="UR22" s="119"/>
      <c r="US22" s="119"/>
      <c r="UT22" s="119"/>
      <c r="UU22" s="119"/>
      <c r="UV22" s="119"/>
      <c r="UW22" s="119"/>
      <c r="UX22" s="119"/>
      <c r="UY22" s="119"/>
      <c r="UZ22" s="119"/>
      <c r="VA22" s="119"/>
      <c r="VB22" s="119"/>
      <c r="VC22" s="119"/>
      <c r="VD22" s="119"/>
      <c r="VE22" s="119"/>
      <c r="VF22" s="119"/>
      <c r="VG22" s="119"/>
      <c r="VH22" s="119"/>
      <c r="VI22" s="119"/>
      <c r="VJ22" s="119"/>
      <c r="VK22" s="119"/>
      <c r="VL22" s="119"/>
      <c r="VM22" s="119"/>
      <c r="VN22" s="119"/>
      <c r="VO22" s="119"/>
      <c r="VP22" s="119"/>
      <c r="VQ22" s="119"/>
      <c r="VR22" s="119"/>
      <c r="VS22" s="119"/>
      <c r="VT22" s="119"/>
      <c r="VU22" s="119"/>
      <c r="VV22" s="119"/>
      <c r="VW22" s="119"/>
      <c r="VX22" s="119"/>
      <c r="VY22" s="119"/>
      <c r="VZ22" s="119"/>
      <c r="WA22" s="119"/>
      <c r="WB22" s="119"/>
      <c r="WC22" s="119"/>
      <c r="WD22" s="119"/>
      <c r="WE22" s="119"/>
      <c r="WF22" s="119"/>
      <c r="WG22" s="119"/>
      <c r="WH22" s="119"/>
      <c r="WI22" s="119"/>
      <c r="WJ22" s="119"/>
      <c r="WK22" s="119"/>
      <c r="WL22" s="119"/>
      <c r="WM22" s="119"/>
      <c r="WN22" s="119"/>
      <c r="WO22" s="119"/>
      <c r="WP22" s="119"/>
      <c r="WQ22" s="119"/>
      <c r="WR22" s="119"/>
      <c r="WS22" s="119"/>
      <c r="WT22" s="119"/>
      <c r="WU22" s="119"/>
      <c r="WV22" s="119"/>
      <c r="WW22" s="119"/>
      <c r="WX22" s="119"/>
      <c r="WY22" s="119"/>
      <c r="WZ22" s="119"/>
      <c r="XA22" s="119"/>
      <c r="XB22" s="119"/>
      <c r="XC22" s="119"/>
      <c r="XD22" s="119"/>
      <c r="XE22" s="119"/>
      <c r="XF22" s="119"/>
      <c r="XG22" s="119"/>
      <c r="XH22" s="119"/>
      <c r="XI22" s="119"/>
      <c r="XJ22" s="119"/>
      <c r="XK22" s="119"/>
      <c r="XL22" s="119"/>
      <c r="XM22" s="119"/>
      <c r="XN22" s="119"/>
      <c r="XO22" s="119"/>
      <c r="XP22" s="119"/>
      <c r="XQ22" s="119"/>
      <c r="XR22" s="119"/>
      <c r="XS22" s="119"/>
      <c r="XT22" s="119"/>
      <c r="XU22" s="119"/>
      <c r="XV22" s="119"/>
      <c r="XW22" s="119"/>
      <c r="XX22" s="119"/>
      <c r="XY22" s="119"/>
      <c r="XZ22" s="119"/>
      <c r="YA22" s="119"/>
      <c r="YB22" s="119"/>
      <c r="YC22" s="119"/>
      <c r="YD22" s="119"/>
      <c r="YE22" s="119"/>
      <c r="YF22" s="119"/>
      <c r="YG22" s="119"/>
      <c r="YH22" s="119"/>
      <c r="YI22" s="119"/>
      <c r="YJ22" s="119"/>
      <c r="YK22" s="119"/>
      <c r="YL22" s="119"/>
      <c r="YM22" s="119"/>
      <c r="YN22" s="119"/>
      <c r="YO22" s="119"/>
      <c r="YP22" s="119"/>
      <c r="YQ22" s="119"/>
      <c r="YR22" s="119"/>
      <c r="YS22" s="119"/>
      <c r="YT22" s="119"/>
      <c r="YU22" s="119"/>
      <c r="YV22" s="119"/>
      <c r="YW22" s="119"/>
      <c r="YX22" s="119"/>
      <c r="YY22" s="119"/>
      <c r="YZ22" s="119"/>
      <c r="ZA22" s="119"/>
      <c r="ZB22" s="119"/>
      <c r="ZC22" s="119"/>
      <c r="ZD22" s="119"/>
      <c r="ZE22" s="119"/>
      <c r="ZF22" s="119"/>
      <c r="ZG22" s="119"/>
      <c r="ZH22" s="119"/>
      <c r="ZI22" s="119"/>
      <c r="ZJ22" s="119"/>
      <c r="ZK22" s="119"/>
      <c r="ZL22" s="119"/>
      <c r="ZM22" s="119"/>
      <c r="ZN22" s="119"/>
      <c r="ZO22" s="119"/>
      <c r="ZP22" s="119"/>
      <c r="ZQ22" s="119"/>
      <c r="ZR22" s="119"/>
      <c r="ZS22" s="119"/>
      <c r="ZT22" s="119"/>
      <c r="ZU22" s="119"/>
      <c r="ZV22" s="119"/>
      <c r="ZW22" s="119"/>
      <c r="ZX22" s="119"/>
      <c r="ZY22" s="119"/>
      <c r="ZZ22" s="119"/>
      <c r="AAA22" s="119"/>
      <c r="AAB22" s="119"/>
      <c r="AAC22" s="119"/>
      <c r="AAD22" s="119"/>
      <c r="AAE22" s="119"/>
      <c r="AAF22" s="119"/>
      <c r="AAG22" s="119"/>
      <c r="AAH22" s="119"/>
      <c r="AAI22" s="119"/>
      <c r="AAJ22" s="119"/>
      <c r="AAK22" s="119"/>
      <c r="AAL22" s="119"/>
      <c r="AAM22" s="119"/>
      <c r="AAN22" s="119"/>
      <c r="AAO22" s="119"/>
      <c r="AAP22" s="119"/>
      <c r="AAQ22" s="119"/>
      <c r="AAR22" s="119"/>
      <c r="AAS22" s="119"/>
      <c r="AAT22" s="119"/>
      <c r="AAU22" s="119"/>
      <c r="AAV22" s="119"/>
      <c r="AAW22" s="119"/>
      <c r="AAX22" s="119"/>
      <c r="AAY22" s="119"/>
      <c r="AAZ22" s="119"/>
      <c r="ABA22" s="119"/>
      <c r="ABB22" s="119"/>
      <c r="ABC22" s="119"/>
      <c r="ABD22" s="119"/>
      <c r="ABE22" s="119"/>
      <c r="ABF22" s="119"/>
      <c r="ABG22" s="119"/>
      <c r="ABH22" s="119"/>
      <c r="ABI22" s="119"/>
      <c r="ABJ22" s="119"/>
      <c r="ABK22" s="119"/>
      <c r="ABL22" s="119"/>
      <c r="ABM22" s="119"/>
      <c r="ABN22" s="119"/>
      <c r="ABO22" s="119"/>
      <c r="ABP22" s="119"/>
      <c r="ABQ22" s="119"/>
      <c r="ABR22" s="119"/>
      <c r="ABS22" s="119"/>
      <c r="ABT22" s="119"/>
      <c r="ABU22" s="119"/>
      <c r="ABV22" s="119"/>
      <c r="ABW22" s="119"/>
      <c r="ABX22" s="119"/>
      <c r="ABY22" s="119"/>
      <c r="ABZ22" s="119"/>
      <c r="ACA22" s="119"/>
      <c r="ACB22" s="119"/>
      <c r="ACC22" s="119"/>
      <c r="ACD22" s="119"/>
      <c r="ACE22" s="119"/>
      <c r="ACF22" s="119"/>
      <c r="ACG22" s="119"/>
      <c r="ACH22" s="119"/>
      <c r="ACI22" s="119"/>
      <c r="ACJ22" s="119"/>
      <c r="ACK22" s="119"/>
      <c r="ACL22" s="119"/>
      <c r="ACM22" s="119"/>
      <c r="ACN22" s="119"/>
      <c r="ACO22" s="119"/>
      <c r="ACP22" s="119"/>
      <c r="ACQ22" s="119"/>
    </row>
    <row r="23" spans="1:771" ht="92.1" customHeight="1">
      <c r="B23" s="61" t="s">
        <v>108</v>
      </c>
      <c r="C23" s="62"/>
      <c r="D23" s="61" t="s">
        <v>109</v>
      </c>
      <c r="E23" s="62"/>
      <c r="F23" s="63" t="s">
        <v>71</v>
      </c>
      <c r="G23" s="62"/>
      <c r="H23" s="61" t="s">
        <v>72</v>
      </c>
      <c r="I23" s="62"/>
      <c r="J23" s="61" t="s">
        <v>89</v>
      </c>
      <c r="K23" s="62"/>
      <c r="L23" s="61" t="s">
        <v>74</v>
      </c>
      <c r="M23" s="62"/>
      <c r="N23" s="61" t="s">
        <v>96</v>
      </c>
      <c r="O23" s="62"/>
      <c r="P23" s="61" t="s">
        <v>110</v>
      </c>
      <c r="Q23" s="62"/>
      <c r="R23" s="61" t="s">
        <v>77</v>
      </c>
      <c r="S23" s="62"/>
      <c r="T23" s="65" t="s">
        <v>111</v>
      </c>
      <c r="U23" s="66"/>
      <c r="V23" s="67" t="s">
        <v>79</v>
      </c>
      <c r="W23" s="66"/>
      <c r="X23" s="67" t="s">
        <v>80</v>
      </c>
      <c r="Y23" s="69"/>
      <c r="Z23" s="110" t="s">
        <v>79</v>
      </c>
      <c r="AA23" s="113"/>
      <c r="AB23" s="109" t="s">
        <v>112</v>
      </c>
      <c r="AC23" s="66"/>
      <c r="AD23" s="63" t="s">
        <v>113</v>
      </c>
      <c r="AE23" s="83"/>
    </row>
    <row r="24" spans="1:771" s="62" customFormat="1" ht="119.1">
      <c r="A24" s="20"/>
      <c r="B24" s="61" t="s">
        <v>114</v>
      </c>
      <c r="D24" s="61" t="s">
        <v>115</v>
      </c>
      <c r="F24" s="63" t="s">
        <v>115</v>
      </c>
      <c r="H24" s="61" t="s">
        <v>116</v>
      </c>
      <c r="J24" s="61" t="s">
        <v>73</v>
      </c>
      <c r="L24" s="61" t="s">
        <v>74</v>
      </c>
      <c r="N24" s="61" t="s">
        <v>117</v>
      </c>
      <c r="P24" s="61" t="s">
        <v>118</v>
      </c>
      <c r="R24" s="61" t="s">
        <v>77</v>
      </c>
      <c r="T24" s="65" t="s">
        <v>119</v>
      </c>
      <c r="U24" s="66"/>
      <c r="V24" s="67" t="s">
        <v>79</v>
      </c>
      <c r="W24" s="68"/>
      <c r="X24" s="67" t="s">
        <v>80</v>
      </c>
      <c r="Y24" s="68"/>
      <c r="Z24" s="67" t="s">
        <v>79</v>
      </c>
      <c r="AA24" s="68"/>
      <c r="AB24" s="67" t="s">
        <v>80</v>
      </c>
      <c r="AD24" s="63" t="s">
        <v>120</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row>
    <row r="25" spans="1:771" s="62" customFormat="1" ht="137.1" customHeight="1">
      <c r="A25" s="20"/>
      <c r="B25" s="61" t="s">
        <v>121</v>
      </c>
      <c r="D25" s="61" t="s">
        <v>122</v>
      </c>
      <c r="F25" s="63" t="s">
        <v>123</v>
      </c>
      <c r="H25" s="61" t="s">
        <v>124</v>
      </c>
      <c r="J25" s="61" t="s">
        <v>73</v>
      </c>
      <c r="L25" s="61" t="s">
        <v>74</v>
      </c>
      <c r="N25" s="61" t="s">
        <v>125</v>
      </c>
      <c r="P25" s="61" t="s">
        <v>126</v>
      </c>
      <c r="R25" s="61" t="s">
        <v>77</v>
      </c>
      <c r="T25" s="65" t="s">
        <v>127</v>
      </c>
      <c r="U25" s="66"/>
      <c r="V25" s="67" t="s">
        <v>79</v>
      </c>
      <c r="W25" s="68"/>
      <c r="X25" s="67" t="s">
        <v>80</v>
      </c>
      <c r="Y25" s="68"/>
      <c r="Z25" s="67" t="s">
        <v>79</v>
      </c>
      <c r="AA25" s="68"/>
      <c r="AB25" s="63" t="s">
        <v>128</v>
      </c>
      <c r="AD25" s="63" t="s">
        <v>129</v>
      </c>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row>
    <row r="26" spans="1:771" s="62" customFormat="1" ht="135.94999999999999">
      <c r="A26" s="21"/>
      <c r="B26" s="61" t="s">
        <v>130</v>
      </c>
      <c r="D26" s="61" t="s">
        <v>122</v>
      </c>
      <c r="F26" s="63" t="s">
        <v>123</v>
      </c>
      <c r="H26" s="61" t="s">
        <v>124</v>
      </c>
      <c r="J26" s="61" t="s">
        <v>73</v>
      </c>
      <c r="L26" s="61" t="s">
        <v>74</v>
      </c>
      <c r="N26" s="61" t="s">
        <v>103</v>
      </c>
      <c r="P26" s="61" t="s">
        <v>131</v>
      </c>
      <c r="R26" s="61" t="s">
        <v>77</v>
      </c>
      <c r="T26" s="75" t="s">
        <v>132</v>
      </c>
      <c r="U26" s="66"/>
      <c r="V26" s="67" t="s">
        <v>79</v>
      </c>
      <c r="W26" s="68"/>
      <c r="X26" s="67" t="s">
        <v>80</v>
      </c>
      <c r="Y26" s="68"/>
      <c r="Z26" s="67" t="s">
        <v>79</v>
      </c>
      <c r="AA26" s="68"/>
      <c r="AB26" s="63" t="s">
        <v>133</v>
      </c>
      <c r="AC26" s="69"/>
      <c r="AD26" s="63" t="s">
        <v>134</v>
      </c>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row>
    <row r="27" spans="1:771" s="62" customFormat="1" ht="170.1">
      <c r="A27" s="21"/>
      <c r="B27" s="61" t="s">
        <v>135</v>
      </c>
      <c r="D27" s="61" t="s">
        <v>136</v>
      </c>
      <c r="F27" s="63" t="s">
        <v>137</v>
      </c>
      <c r="H27" s="61" t="s">
        <v>138</v>
      </c>
      <c r="J27" s="61" t="s">
        <v>73</v>
      </c>
      <c r="L27" s="61" t="s">
        <v>74</v>
      </c>
      <c r="N27" s="61" t="s">
        <v>103</v>
      </c>
      <c r="P27" s="61" t="s">
        <v>139</v>
      </c>
      <c r="R27" s="61" t="s">
        <v>77</v>
      </c>
      <c r="T27" s="65" t="s">
        <v>140</v>
      </c>
      <c r="U27" s="66"/>
      <c r="V27" s="67" t="s">
        <v>79</v>
      </c>
      <c r="W27" s="68"/>
      <c r="X27" s="67" t="s">
        <v>80</v>
      </c>
      <c r="Y27" s="68"/>
      <c r="Z27" s="67" t="s">
        <v>79</v>
      </c>
      <c r="AA27" s="68"/>
      <c r="AB27" s="90" t="s">
        <v>128</v>
      </c>
      <c r="AC27" s="69"/>
      <c r="AD27" s="63" t="s">
        <v>141</v>
      </c>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row>
    <row r="28" spans="1:771" s="62" customFormat="1" ht="84.95">
      <c r="A28" s="21"/>
      <c r="B28" s="61" t="s">
        <v>142</v>
      </c>
      <c r="D28" s="61" t="s">
        <v>143</v>
      </c>
      <c r="F28" s="63" t="s">
        <v>71</v>
      </c>
      <c r="H28" s="61" t="s">
        <v>138</v>
      </c>
      <c r="J28" s="61" t="s">
        <v>89</v>
      </c>
      <c r="L28" s="61" t="s">
        <v>74</v>
      </c>
      <c r="N28" s="61" t="s">
        <v>103</v>
      </c>
      <c r="P28" s="61" t="s">
        <v>144</v>
      </c>
      <c r="R28" s="61" t="s">
        <v>77</v>
      </c>
      <c r="T28" s="75" t="s">
        <v>140</v>
      </c>
      <c r="U28" s="66"/>
      <c r="V28" s="67" t="s">
        <v>79</v>
      </c>
      <c r="W28" s="68"/>
      <c r="X28" s="67" t="s">
        <v>92</v>
      </c>
      <c r="Y28" s="68"/>
      <c r="Z28" s="67" t="s">
        <v>79</v>
      </c>
      <c r="AA28" s="68"/>
      <c r="AB28" s="90" t="s">
        <v>145</v>
      </c>
      <c r="AC28" s="69"/>
      <c r="AD28" s="63" t="s">
        <v>146</v>
      </c>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row>
    <row r="29" spans="1:771" ht="135.94999999999999">
      <c r="B29" s="61" t="s">
        <v>147</v>
      </c>
      <c r="C29" s="62"/>
      <c r="D29" s="61" t="s">
        <v>115</v>
      </c>
      <c r="E29" s="62"/>
      <c r="F29" s="63" t="s">
        <v>115</v>
      </c>
      <c r="G29" s="62"/>
      <c r="H29" s="61" t="s">
        <v>148</v>
      </c>
      <c r="I29" s="62"/>
      <c r="J29" s="61" t="s">
        <v>73</v>
      </c>
      <c r="K29" s="62"/>
      <c r="L29" s="61" t="s">
        <v>74</v>
      </c>
      <c r="M29" s="62"/>
      <c r="N29" s="61" t="s">
        <v>103</v>
      </c>
      <c r="O29" s="62"/>
      <c r="P29" s="61" t="s">
        <v>149</v>
      </c>
      <c r="Q29" s="62"/>
      <c r="R29" s="61" t="s">
        <v>77</v>
      </c>
      <c r="S29" s="62"/>
      <c r="T29" s="65" t="s">
        <v>150</v>
      </c>
      <c r="U29" s="66"/>
      <c r="V29" s="67" t="s">
        <v>79</v>
      </c>
      <c r="W29" s="66"/>
      <c r="X29" s="67" t="s">
        <v>80</v>
      </c>
      <c r="Y29" s="69"/>
      <c r="Z29" s="67" t="s">
        <v>79</v>
      </c>
      <c r="AA29" s="66"/>
      <c r="AB29" s="67" t="s">
        <v>80</v>
      </c>
      <c r="AC29" s="66"/>
      <c r="AD29" s="63" t="s">
        <v>151</v>
      </c>
    </row>
    <row r="30" spans="1:771" ht="84.95">
      <c r="B30" s="61" t="s">
        <v>152</v>
      </c>
      <c r="C30" s="62"/>
      <c r="D30" s="61" t="s">
        <v>115</v>
      </c>
      <c r="E30" s="62"/>
      <c r="F30" s="63" t="s">
        <v>115</v>
      </c>
      <c r="G30" s="62"/>
      <c r="H30" s="61" t="s">
        <v>72</v>
      </c>
      <c r="I30" s="62"/>
      <c r="J30" s="61" t="s">
        <v>73</v>
      </c>
      <c r="K30" s="62"/>
      <c r="L30" s="61" t="s">
        <v>74</v>
      </c>
      <c r="M30" s="62"/>
      <c r="N30" s="61" t="s">
        <v>153</v>
      </c>
      <c r="O30" s="62"/>
      <c r="P30" s="61" t="s">
        <v>154</v>
      </c>
      <c r="Q30" s="62"/>
      <c r="R30" s="61" t="s">
        <v>77</v>
      </c>
      <c r="S30" s="62"/>
      <c r="T30" s="75" t="s">
        <v>155</v>
      </c>
      <c r="U30" s="66"/>
      <c r="V30" s="67" t="s">
        <v>79</v>
      </c>
      <c r="W30" s="66"/>
      <c r="X30" s="67" t="s">
        <v>92</v>
      </c>
      <c r="Y30" s="69"/>
      <c r="Z30" s="67" t="s">
        <v>79</v>
      </c>
      <c r="AA30" s="66"/>
      <c r="AB30" s="63" t="s">
        <v>156</v>
      </c>
      <c r="AC30" s="66"/>
      <c r="AD30" s="63" t="s">
        <v>157</v>
      </c>
    </row>
    <row r="31" spans="1:771" ht="84.95">
      <c r="B31" s="61" t="s">
        <v>158</v>
      </c>
      <c r="C31" s="62"/>
      <c r="D31" s="61" t="s">
        <v>115</v>
      </c>
      <c r="E31" s="62"/>
      <c r="F31" s="63" t="s">
        <v>115</v>
      </c>
      <c r="G31" s="62"/>
      <c r="H31" s="61" t="s">
        <v>72</v>
      </c>
      <c r="I31" s="62"/>
      <c r="J31" s="61" t="s">
        <v>89</v>
      </c>
      <c r="K31" s="62"/>
      <c r="L31" s="61" t="s">
        <v>74</v>
      </c>
      <c r="M31" s="62"/>
      <c r="N31" s="61" t="s">
        <v>103</v>
      </c>
      <c r="O31" s="62"/>
      <c r="P31" s="61" t="s">
        <v>159</v>
      </c>
      <c r="Q31" s="62"/>
      <c r="R31" s="61" t="s">
        <v>77</v>
      </c>
      <c r="S31" s="62"/>
      <c r="T31" s="75" t="s">
        <v>160</v>
      </c>
      <c r="U31" s="66"/>
      <c r="V31" s="67" t="s">
        <v>79</v>
      </c>
      <c r="W31" s="66"/>
      <c r="X31" s="67" t="s">
        <v>92</v>
      </c>
      <c r="Y31" s="69"/>
      <c r="Z31" s="67" t="s">
        <v>161</v>
      </c>
      <c r="AA31" s="66"/>
      <c r="AB31" s="90" t="s">
        <v>162</v>
      </c>
      <c r="AC31" s="66"/>
      <c r="AD31" s="63" t="s">
        <v>163</v>
      </c>
    </row>
    <row r="32" spans="1:771" ht="170.1">
      <c r="B32" s="61" t="s">
        <v>164</v>
      </c>
      <c r="C32" s="62"/>
      <c r="D32" s="61" t="s">
        <v>165</v>
      </c>
      <c r="E32" s="62"/>
      <c r="F32" s="63" t="s">
        <v>166</v>
      </c>
      <c r="G32" s="62"/>
      <c r="H32" s="61" t="s">
        <v>72</v>
      </c>
      <c r="I32" s="62"/>
      <c r="J32" s="61" t="s">
        <v>73</v>
      </c>
      <c r="K32" s="62"/>
      <c r="L32" s="61" t="s">
        <v>74</v>
      </c>
      <c r="M32" s="62"/>
      <c r="N32" s="61" t="s">
        <v>96</v>
      </c>
      <c r="O32" s="62"/>
      <c r="P32" s="61" t="s">
        <v>167</v>
      </c>
      <c r="Q32" s="62"/>
      <c r="R32" s="61" t="s">
        <v>77</v>
      </c>
      <c r="S32" s="62"/>
      <c r="T32" s="75" t="s">
        <v>168</v>
      </c>
      <c r="U32" s="66"/>
      <c r="V32" s="67" t="s">
        <v>79</v>
      </c>
      <c r="W32" s="66"/>
      <c r="X32" s="67" t="s">
        <v>92</v>
      </c>
      <c r="Y32" s="69"/>
      <c r="Z32" s="67" t="s">
        <v>161</v>
      </c>
      <c r="AA32" s="66"/>
      <c r="AB32" s="63" t="s">
        <v>169</v>
      </c>
      <c r="AC32" s="66"/>
      <c r="AD32" s="63" t="s">
        <v>170</v>
      </c>
    </row>
    <row r="33" spans="1:771" ht="119.1">
      <c r="B33" s="61" t="s">
        <v>171</v>
      </c>
      <c r="C33" s="62"/>
      <c r="D33" s="61" t="s">
        <v>115</v>
      </c>
      <c r="E33" s="62"/>
      <c r="F33" s="63" t="s">
        <v>115</v>
      </c>
      <c r="G33" s="62"/>
      <c r="H33" s="61" t="s">
        <v>72</v>
      </c>
      <c r="I33" s="62"/>
      <c r="J33" s="61" t="s">
        <v>73</v>
      </c>
      <c r="K33" s="62"/>
      <c r="L33" s="61" t="s">
        <v>74</v>
      </c>
      <c r="M33" s="62"/>
      <c r="N33" s="61" t="s">
        <v>96</v>
      </c>
      <c r="O33" s="62"/>
      <c r="P33" s="61" t="s">
        <v>172</v>
      </c>
      <c r="Q33" s="62"/>
      <c r="R33" s="61" t="s">
        <v>77</v>
      </c>
      <c r="S33" s="62"/>
      <c r="T33" s="75" t="s">
        <v>173</v>
      </c>
      <c r="U33" s="66"/>
      <c r="V33" s="67" t="s">
        <v>79</v>
      </c>
      <c r="W33" s="66"/>
      <c r="X33" s="67" t="s">
        <v>92</v>
      </c>
      <c r="Y33" s="69"/>
      <c r="Z33" s="67" t="s">
        <v>79</v>
      </c>
      <c r="AA33" s="66"/>
      <c r="AB33" s="63" t="s">
        <v>174</v>
      </c>
      <c r="AC33" s="66"/>
      <c r="AD33" s="63" t="s">
        <v>175</v>
      </c>
    </row>
    <row r="34" spans="1:771" s="62" customFormat="1" ht="51">
      <c r="A34" s="20"/>
      <c r="B34" s="61" t="s">
        <v>176</v>
      </c>
      <c r="D34" s="61" t="s">
        <v>115</v>
      </c>
      <c r="F34" s="63" t="s">
        <v>115</v>
      </c>
      <c r="H34" s="61" t="s">
        <v>177</v>
      </c>
      <c r="J34" s="61" t="s">
        <v>73</v>
      </c>
      <c r="L34" s="61" t="s">
        <v>74</v>
      </c>
      <c r="N34" s="61" t="s">
        <v>178</v>
      </c>
      <c r="P34" s="61" t="s">
        <v>179</v>
      </c>
      <c r="R34" s="61" t="s">
        <v>77</v>
      </c>
      <c r="T34" s="65" t="s">
        <v>180</v>
      </c>
      <c r="U34" s="66"/>
      <c r="V34" s="67" t="s">
        <v>79</v>
      </c>
      <c r="W34" s="68"/>
      <c r="X34" s="67" t="s">
        <v>80</v>
      </c>
      <c r="Y34" s="68"/>
      <c r="Z34" s="67" t="s">
        <v>79</v>
      </c>
      <c r="AA34" s="68"/>
      <c r="AB34" s="67" t="s">
        <v>80</v>
      </c>
      <c r="AC34" s="69"/>
      <c r="AD34" s="63" t="s">
        <v>181</v>
      </c>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row>
    <row r="35" spans="1:771" s="62" customFormat="1" ht="68.099999999999994">
      <c r="A35" s="20"/>
      <c r="B35" s="61" t="s">
        <v>182</v>
      </c>
      <c r="D35" s="61" t="s">
        <v>183</v>
      </c>
      <c r="F35" s="63" t="s">
        <v>184</v>
      </c>
      <c r="H35" s="61" t="s">
        <v>72</v>
      </c>
      <c r="J35" s="61" t="s">
        <v>73</v>
      </c>
      <c r="L35" s="61" t="s">
        <v>74</v>
      </c>
      <c r="N35" s="61" t="s">
        <v>185</v>
      </c>
      <c r="P35" s="61" t="s">
        <v>186</v>
      </c>
      <c r="R35" s="61" t="s">
        <v>77</v>
      </c>
      <c r="T35" s="65" t="s">
        <v>187</v>
      </c>
      <c r="U35" s="66"/>
      <c r="V35" s="67" t="s">
        <v>79</v>
      </c>
      <c r="W35" s="68"/>
      <c r="X35" s="67" t="s">
        <v>80</v>
      </c>
      <c r="Y35" s="68"/>
      <c r="Z35" s="67" t="s">
        <v>79</v>
      </c>
      <c r="AA35" s="68"/>
      <c r="AB35" s="90" t="s">
        <v>188</v>
      </c>
      <c r="AC35" s="69"/>
      <c r="AD35" s="63" t="s">
        <v>189</v>
      </c>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row>
    <row r="36" spans="1:771" s="62" customFormat="1" ht="51">
      <c r="A36" s="20"/>
      <c r="B36" s="61" t="s">
        <v>190</v>
      </c>
      <c r="D36" s="61" t="s">
        <v>71</v>
      </c>
      <c r="F36" s="63" t="s">
        <v>143</v>
      </c>
      <c r="H36" s="61" t="s">
        <v>191</v>
      </c>
      <c r="J36" s="61" t="s">
        <v>73</v>
      </c>
      <c r="L36" s="61" t="s">
        <v>74</v>
      </c>
      <c r="N36" s="61" t="s">
        <v>192</v>
      </c>
      <c r="P36" s="61" t="s">
        <v>193</v>
      </c>
      <c r="R36" s="64" t="s">
        <v>194</v>
      </c>
      <c r="T36" s="75" t="s">
        <v>195</v>
      </c>
      <c r="U36" s="66"/>
      <c r="V36" s="67" t="s">
        <v>79</v>
      </c>
      <c r="W36" s="68"/>
      <c r="X36" s="67" t="s">
        <v>80</v>
      </c>
      <c r="Y36" s="68"/>
      <c r="Z36" s="67" t="s">
        <v>79</v>
      </c>
      <c r="AA36" s="68"/>
      <c r="AB36" s="67" t="s">
        <v>80</v>
      </c>
      <c r="AC36" s="69"/>
      <c r="AD36" s="63" t="s">
        <v>196</v>
      </c>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row>
    <row r="37" spans="1:771" s="62" customFormat="1" ht="102">
      <c r="A37" s="21"/>
      <c r="B37" s="61" t="s">
        <v>197</v>
      </c>
      <c r="D37" s="61" t="s">
        <v>115</v>
      </c>
      <c r="F37" s="63" t="s">
        <v>115</v>
      </c>
      <c r="H37" s="61" t="s">
        <v>177</v>
      </c>
      <c r="J37" s="61" t="s">
        <v>73</v>
      </c>
      <c r="L37" s="61" t="s">
        <v>74</v>
      </c>
      <c r="N37" s="61" t="s">
        <v>117</v>
      </c>
      <c r="P37" s="61" t="s">
        <v>198</v>
      </c>
      <c r="R37" s="61" t="s">
        <v>77</v>
      </c>
      <c r="T37" s="65" t="s">
        <v>199</v>
      </c>
      <c r="U37" s="66"/>
      <c r="V37" s="67" t="s">
        <v>79</v>
      </c>
      <c r="W37" s="68"/>
      <c r="X37" s="67" t="s">
        <v>80</v>
      </c>
      <c r="Y37" s="68"/>
      <c r="Z37" s="67" t="s">
        <v>79</v>
      </c>
      <c r="AA37" s="68"/>
      <c r="AB37" s="67" t="s">
        <v>80</v>
      </c>
      <c r="AC37" s="69"/>
      <c r="AD37" s="67" t="s">
        <v>200</v>
      </c>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row>
    <row r="38" spans="1:771" s="62" customFormat="1" ht="134.1" customHeight="1">
      <c r="A38" s="20"/>
      <c r="B38" s="61" t="s">
        <v>201</v>
      </c>
      <c r="D38" s="61" t="s">
        <v>115</v>
      </c>
      <c r="F38" s="63" t="s">
        <v>115</v>
      </c>
      <c r="H38" s="61" t="s">
        <v>177</v>
      </c>
      <c r="J38" s="61" t="s">
        <v>73</v>
      </c>
      <c r="L38" s="61" t="s">
        <v>74</v>
      </c>
      <c r="N38" s="61" t="s">
        <v>202</v>
      </c>
      <c r="P38" s="61" t="s">
        <v>203</v>
      </c>
      <c r="R38" s="61" t="s">
        <v>77</v>
      </c>
      <c r="T38" s="65" t="s">
        <v>204</v>
      </c>
      <c r="U38" s="66"/>
      <c r="V38" s="67" t="s">
        <v>79</v>
      </c>
      <c r="W38" s="68"/>
      <c r="X38" s="67" t="s">
        <v>80</v>
      </c>
      <c r="Y38" s="68"/>
      <c r="Z38" s="67" t="s">
        <v>79</v>
      </c>
      <c r="AA38" s="68"/>
      <c r="AB38" s="90" t="s">
        <v>205</v>
      </c>
      <c r="AC38" s="69"/>
      <c r="AD38" s="63" t="s">
        <v>206</v>
      </c>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row>
    <row r="39" spans="1:771" s="62" customFormat="1" ht="51">
      <c r="A39" s="21"/>
      <c r="B39" s="61" t="s">
        <v>207</v>
      </c>
      <c r="D39" s="61" t="s">
        <v>208</v>
      </c>
      <c r="F39" s="63" t="s">
        <v>209</v>
      </c>
      <c r="H39" s="61" t="s">
        <v>72</v>
      </c>
      <c r="J39" s="61" t="s">
        <v>73</v>
      </c>
      <c r="L39" s="61" t="s">
        <v>74</v>
      </c>
      <c r="N39" s="61" t="s">
        <v>103</v>
      </c>
      <c r="P39" s="63" t="s">
        <v>210</v>
      </c>
      <c r="R39" s="61" t="s">
        <v>77</v>
      </c>
      <c r="T39" s="65" t="s">
        <v>211</v>
      </c>
      <c r="U39" s="66"/>
      <c r="V39" s="67" t="s">
        <v>79</v>
      </c>
      <c r="W39" s="68"/>
      <c r="X39" s="67" t="s">
        <v>80</v>
      </c>
      <c r="Y39" s="68"/>
      <c r="Z39" s="67" t="s">
        <v>79</v>
      </c>
      <c r="AA39" s="68"/>
      <c r="AB39" s="90" t="s">
        <v>128</v>
      </c>
      <c r="AC39" s="69"/>
      <c r="AD39" s="63" t="s">
        <v>212</v>
      </c>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row>
    <row r="40" spans="1:771" ht="102">
      <c r="B40" s="61" t="s">
        <v>213</v>
      </c>
      <c r="C40" s="62"/>
      <c r="D40" s="61" t="s">
        <v>214</v>
      </c>
      <c r="E40" s="62"/>
      <c r="F40" s="61" t="s">
        <v>214</v>
      </c>
      <c r="G40" s="62"/>
      <c r="H40" s="61" t="s">
        <v>215</v>
      </c>
      <c r="I40" s="62"/>
      <c r="J40" s="61" t="s">
        <v>73</v>
      </c>
      <c r="K40" s="62"/>
      <c r="L40" s="61" t="s">
        <v>74</v>
      </c>
      <c r="M40" s="62"/>
      <c r="N40" s="61" t="s">
        <v>202</v>
      </c>
      <c r="O40" s="62"/>
      <c r="P40" s="61" t="s">
        <v>216</v>
      </c>
      <c r="Q40" s="62"/>
      <c r="R40" s="61" t="s">
        <v>77</v>
      </c>
      <c r="S40" s="62"/>
      <c r="T40" s="65" t="s">
        <v>217</v>
      </c>
      <c r="U40" s="66"/>
      <c r="V40" s="67" t="s">
        <v>79</v>
      </c>
      <c r="W40" s="66"/>
      <c r="X40" s="67" t="s">
        <v>80</v>
      </c>
      <c r="Y40" s="69"/>
      <c r="Z40" s="67" t="s">
        <v>79</v>
      </c>
      <c r="AA40" s="66"/>
      <c r="AB40" s="63" t="s">
        <v>128</v>
      </c>
      <c r="AC40" s="66"/>
      <c r="AD40" s="63" t="s">
        <v>218</v>
      </c>
    </row>
    <row r="41" spans="1:771" ht="102">
      <c r="B41" s="61" t="s">
        <v>219</v>
      </c>
      <c r="C41" s="62"/>
      <c r="D41" s="61" t="s">
        <v>220</v>
      </c>
      <c r="E41" s="62"/>
      <c r="F41" s="63" t="s">
        <v>221</v>
      </c>
      <c r="G41" s="62"/>
      <c r="H41" s="61" t="s">
        <v>72</v>
      </c>
      <c r="I41" s="62"/>
      <c r="J41" s="61" t="s">
        <v>73</v>
      </c>
      <c r="K41" s="62"/>
      <c r="L41" s="61" t="s">
        <v>74</v>
      </c>
      <c r="M41" s="62"/>
      <c r="N41" s="61" t="s">
        <v>103</v>
      </c>
      <c r="O41" s="62"/>
      <c r="P41" s="61" t="s">
        <v>222</v>
      </c>
      <c r="Q41" s="62"/>
      <c r="R41" s="61" t="s">
        <v>77</v>
      </c>
      <c r="S41" s="62"/>
      <c r="T41" s="92" t="s">
        <v>223</v>
      </c>
      <c r="U41" s="66"/>
      <c r="V41" s="67" t="s">
        <v>79</v>
      </c>
      <c r="W41" s="66"/>
      <c r="X41" s="67" t="s">
        <v>80</v>
      </c>
      <c r="Y41" s="69"/>
      <c r="Z41" s="67" t="s">
        <v>79</v>
      </c>
      <c r="AA41" s="66"/>
      <c r="AB41" s="63" t="s">
        <v>224</v>
      </c>
      <c r="AC41" s="66"/>
      <c r="AD41" s="63" t="s">
        <v>225</v>
      </c>
    </row>
    <row r="42" spans="1:771" ht="119.1">
      <c r="B42" s="61" t="s">
        <v>226</v>
      </c>
      <c r="C42" s="62"/>
      <c r="D42" s="61" t="s">
        <v>115</v>
      </c>
      <c r="E42" s="62"/>
      <c r="F42" s="63" t="s">
        <v>115</v>
      </c>
      <c r="G42" s="62"/>
      <c r="H42" s="61" t="s">
        <v>88</v>
      </c>
      <c r="I42" s="62"/>
      <c r="J42" s="61" t="s">
        <v>73</v>
      </c>
      <c r="K42" s="62"/>
      <c r="L42" s="61" t="s">
        <v>74</v>
      </c>
      <c r="M42" s="62"/>
      <c r="N42" s="61" t="s">
        <v>125</v>
      </c>
      <c r="O42" s="62"/>
      <c r="P42" s="61" t="s">
        <v>227</v>
      </c>
      <c r="Q42" s="62"/>
      <c r="R42" s="61" t="s">
        <v>77</v>
      </c>
      <c r="S42" s="62"/>
      <c r="T42" s="65" t="s">
        <v>228</v>
      </c>
      <c r="U42" s="66"/>
      <c r="V42" s="67" t="s">
        <v>79</v>
      </c>
      <c r="W42" s="66"/>
      <c r="X42" s="67" t="s">
        <v>80</v>
      </c>
      <c r="Y42" s="69"/>
      <c r="Z42" s="67" t="s">
        <v>79</v>
      </c>
      <c r="AA42" s="66"/>
      <c r="AB42" s="67" t="s">
        <v>80</v>
      </c>
      <c r="AC42" s="66"/>
      <c r="AD42" s="63" t="s">
        <v>229</v>
      </c>
    </row>
    <row r="43" spans="1:771" ht="219" customHeight="1">
      <c r="B43" s="61" t="s">
        <v>230</v>
      </c>
      <c r="C43" s="62"/>
      <c r="D43" s="61" t="s">
        <v>115</v>
      </c>
      <c r="E43" s="62"/>
      <c r="F43" s="63" t="s">
        <v>115</v>
      </c>
      <c r="G43" s="62"/>
      <c r="H43" s="61" t="s">
        <v>88</v>
      </c>
      <c r="I43" s="62"/>
      <c r="J43" s="61" t="s">
        <v>73</v>
      </c>
      <c r="K43" s="62"/>
      <c r="L43" s="61" t="s">
        <v>74</v>
      </c>
      <c r="M43" s="62"/>
      <c r="N43" s="61" t="s">
        <v>231</v>
      </c>
      <c r="O43" s="62"/>
      <c r="P43" s="61" t="s">
        <v>232</v>
      </c>
      <c r="Q43" s="62"/>
      <c r="R43" s="61" t="s">
        <v>77</v>
      </c>
      <c r="S43" s="62"/>
      <c r="T43" s="65" t="s">
        <v>233</v>
      </c>
      <c r="U43" s="66"/>
      <c r="V43" s="67" t="s">
        <v>79</v>
      </c>
      <c r="W43" s="66"/>
      <c r="X43" s="67" t="s">
        <v>80</v>
      </c>
      <c r="Y43" s="69"/>
      <c r="Z43" s="67" t="s">
        <v>79</v>
      </c>
      <c r="AA43" s="66"/>
      <c r="AB43" s="67" t="s">
        <v>80</v>
      </c>
      <c r="AC43" s="66"/>
      <c r="AD43" s="63" t="s">
        <v>234</v>
      </c>
    </row>
    <row r="44" spans="1:771" ht="102">
      <c r="A44" s="21"/>
      <c r="B44" s="61" t="s">
        <v>235</v>
      </c>
      <c r="C44" s="62"/>
      <c r="D44" s="61" t="s">
        <v>115</v>
      </c>
      <c r="E44" s="62"/>
      <c r="F44" s="63" t="s">
        <v>115</v>
      </c>
      <c r="G44" s="62"/>
      <c r="H44" s="61" t="s">
        <v>88</v>
      </c>
      <c r="I44" s="62"/>
      <c r="J44" s="61" t="s">
        <v>73</v>
      </c>
      <c r="K44" s="62"/>
      <c r="L44" s="61" t="s">
        <v>74</v>
      </c>
      <c r="M44" s="62"/>
      <c r="N44" s="61" t="s">
        <v>236</v>
      </c>
      <c r="O44" s="62"/>
      <c r="P44" s="61" t="s">
        <v>237</v>
      </c>
      <c r="Q44" s="62"/>
      <c r="R44" s="61" t="s">
        <v>77</v>
      </c>
      <c r="S44" s="62"/>
      <c r="T44" s="65" t="s">
        <v>238</v>
      </c>
      <c r="U44" s="66"/>
      <c r="V44" s="67" t="s">
        <v>79</v>
      </c>
      <c r="W44" s="68"/>
      <c r="X44" s="67" t="s">
        <v>80</v>
      </c>
      <c r="Y44" s="68"/>
      <c r="Z44" s="67" t="s">
        <v>79</v>
      </c>
      <c r="AA44" s="68"/>
      <c r="AB44" s="63" t="s">
        <v>239</v>
      </c>
      <c r="AC44" s="69"/>
      <c r="AD44" s="63" t="s">
        <v>240</v>
      </c>
    </row>
    <row r="45" spans="1:771" ht="51">
      <c r="A45" s="21"/>
      <c r="B45" s="61" t="s">
        <v>241</v>
      </c>
      <c r="C45" s="62"/>
      <c r="D45" s="61" t="s">
        <v>115</v>
      </c>
      <c r="E45" s="62"/>
      <c r="F45" s="63" t="s">
        <v>115</v>
      </c>
      <c r="G45" s="62"/>
      <c r="H45" s="61" t="s">
        <v>88</v>
      </c>
      <c r="I45" s="62"/>
      <c r="J45" s="61" t="s">
        <v>73</v>
      </c>
      <c r="K45" s="62"/>
      <c r="L45" s="61" t="s">
        <v>74</v>
      </c>
      <c r="M45" s="62"/>
      <c r="N45" s="61" t="s">
        <v>236</v>
      </c>
      <c r="O45" s="62"/>
      <c r="P45" s="61" t="s">
        <v>242</v>
      </c>
      <c r="Q45" s="62"/>
      <c r="R45" s="61" t="s">
        <v>77</v>
      </c>
      <c r="S45" s="62"/>
      <c r="T45" s="65" t="s">
        <v>243</v>
      </c>
      <c r="U45" s="66"/>
      <c r="V45" s="67" t="s">
        <v>79</v>
      </c>
      <c r="W45" s="68"/>
      <c r="X45" s="67" t="s">
        <v>80</v>
      </c>
      <c r="Y45" s="68"/>
      <c r="Z45" s="67" t="s">
        <v>79</v>
      </c>
      <c r="AA45" s="68"/>
      <c r="AB45" s="67" t="s">
        <v>80</v>
      </c>
      <c r="AC45" s="69"/>
      <c r="AD45" s="63" t="s">
        <v>244</v>
      </c>
    </row>
    <row r="46" spans="1:771" ht="84.95">
      <c r="A46" s="21"/>
      <c r="B46" s="61" t="s">
        <v>245</v>
      </c>
      <c r="C46" s="62"/>
      <c r="D46" s="61" t="s">
        <v>115</v>
      </c>
      <c r="E46" s="62"/>
      <c r="F46" s="63" t="s">
        <v>115</v>
      </c>
      <c r="G46" s="62"/>
      <c r="H46" s="61" t="s">
        <v>88</v>
      </c>
      <c r="I46" s="62"/>
      <c r="J46" s="61" t="s">
        <v>73</v>
      </c>
      <c r="K46" s="62"/>
      <c r="L46" s="61" t="s">
        <v>74</v>
      </c>
      <c r="M46" s="62"/>
      <c r="N46" s="61" t="s">
        <v>202</v>
      </c>
      <c r="O46" s="62"/>
      <c r="P46" s="61" t="s">
        <v>246</v>
      </c>
      <c r="Q46" s="62"/>
      <c r="R46" s="61" t="s">
        <v>77</v>
      </c>
      <c r="S46" s="62"/>
      <c r="T46" s="65" t="s">
        <v>247</v>
      </c>
      <c r="U46" s="66"/>
      <c r="V46" s="67" t="s">
        <v>79</v>
      </c>
      <c r="W46" s="68"/>
      <c r="X46" s="67" t="s">
        <v>80</v>
      </c>
      <c r="Y46" s="68"/>
      <c r="Z46" s="67" t="s">
        <v>79</v>
      </c>
      <c r="AA46" s="68"/>
      <c r="AB46" s="63" t="s">
        <v>128</v>
      </c>
      <c r="AC46" s="69"/>
      <c r="AD46" s="63" t="s">
        <v>248</v>
      </c>
    </row>
    <row r="47" spans="1:771" ht="84.95">
      <c r="A47" s="21"/>
      <c r="B47" s="61" t="s">
        <v>249</v>
      </c>
      <c r="C47" s="62"/>
      <c r="D47" s="61" t="s">
        <v>115</v>
      </c>
      <c r="E47" s="62"/>
      <c r="F47" s="63" t="s">
        <v>115</v>
      </c>
      <c r="G47" s="62"/>
      <c r="H47" s="61" t="s">
        <v>88</v>
      </c>
      <c r="I47" s="62"/>
      <c r="J47" s="61" t="s">
        <v>73</v>
      </c>
      <c r="K47" s="62"/>
      <c r="L47" s="61" t="s">
        <v>74</v>
      </c>
      <c r="M47" s="62"/>
      <c r="N47" s="61" t="s">
        <v>202</v>
      </c>
      <c r="O47" s="62"/>
      <c r="P47" s="61" t="s">
        <v>250</v>
      </c>
      <c r="Q47" s="62"/>
      <c r="R47" s="61" t="s">
        <v>77</v>
      </c>
      <c r="S47" s="62"/>
      <c r="T47" s="65" t="s">
        <v>247</v>
      </c>
      <c r="U47" s="66"/>
      <c r="V47" s="67" t="s">
        <v>79</v>
      </c>
      <c r="W47" s="68"/>
      <c r="X47" s="67" t="s">
        <v>80</v>
      </c>
      <c r="Y47" s="68"/>
      <c r="Z47" s="67" t="s">
        <v>79</v>
      </c>
      <c r="AA47" s="68"/>
      <c r="AB47" s="67" t="s">
        <v>80</v>
      </c>
      <c r="AC47" s="69"/>
      <c r="AD47" s="63" t="s">
        <v>251</v>
      </c>
    </row>
    <row r="48" spans="1:771" ht="186.95">
      <c r="B48" s="61" t="s">
        <v>252</v>
      </c>
      <c r="C48" s="62"/>
      <c r="D48" s="61" t="s">
        <v>253</v>
      </c>
      <c r="E48" s="62"/>
      <c r="F48" s="63" t="s">
        <v>254</v>
      </c>
      <c r="G48" s="62"/>
      <c r="H48" s="61" t="s">
        <v>88</v>
      </c>
      <c r="I48" s="62"/>
      <c r="J48" s="61" t="s">
        <v>73</v>
      </c>
      <c r="K48" s="62"/>
      <c r="L48" s="61" t="s">
        <v>74</v>
      </c>
      <c r="M48" s="62"/>
      <c r="N48" s="61" t="s">
        <v>255</v>
      </c>
      <c r="O48" s="62"/>
      <c r="P48" s="61" t="s">
        <v>256</v>
      </c>
      <c r="Q48" s="62"/>
      <c r="R48" s="61" t="s">
        <v>77</v>
      </c>
      <c r="S48" s="62"/>
      <c r="T48" s="65" t="s">
        <v>257</v>
      </c>
      <c r="U48" s="66"/>
      <c r="V48" s="67" t="s">
        <v>79</v>
      </c>
      <c r="W48" s="66"/>
      <c r="X48" s="67" t="s">
        <v>80</v>
      </c>
      <c r="Y48" s="69"/>
      <c r="Z48" s="67" t="s">
        <v>79</v>
      </c>
      <c r="AA48" s="66"/>
      <c r="AB48" s="63" t="s">
        <v>258</v>
      </c>
      <c r="AC48" s="66"/>
      <c r="AD48" s="63" t="s">
        <v>259</v>
      </c>
    </row>
    <row r="49" spans="1:771" s="62" customFormat="1" ht="48.95" customHeight="1">
      <c r="A49" s="20"/>
      <c r="B49" s="61" t="s">
        <v>260</v>
      </c>
      <c r="D49" s="61" t="s">
        <v>261</v>
      </c>
      <c r="F49" s="63" t="s">
        <v>254</v>
      </c>
      <c r="H49" s="61" t="s">
        <v>262</v>
      </c>
      <c r="J49" s="61" t="s">
        <v>263</v>
      </c>
      <c r="L49" s="61" t="s">
        <v>74</v>
      </c>
      <c r="N49" s="61" t="s">
        <v>185</v>
      </c>
      <c r="P49" s="61" t="s">
        <v>264</v>
      </c>
      <c r="R49" s="61" t="s">
        <v>77</v>
      </c>
      <c r="T49" s="73" t="s">
        <v>265</v>
      </c>
      <c r="U49" s="66"/>
      <c r="V49" s="67" t="s">
        <v>79</v>
      </c>
      <c r="W49" s="68"/>
      <c r="X49" s="67" t="s">
        <v>80</v>
      </c>
      <c r="Y49" s="68"/>
      <c r="Z49" s="67" t="s">
        <v>79</v>
      </c>
      <c r="AA49" s="68"/>
      <c r="AB49" s="67" t="s">
        <v>80</v>
      </c>
      <c r="AD49" s="63" t="s">
        <v>266</v>
      </c>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c r="JA49" s="20"/>
      <c r="JB49" s="20"/>
      <c r="JC49" s="20"/>
      <c r="JD49" s="20"/>
      <c r="JE49" s="20"/>
      <c r="JF49" s="20"/>
      <c r="JG49" s="20"/>
      <c r="JH49" s="20"/>
      <c r="JI49" s="20"/>
      <c r="JJ49" s="20"/>
      <c r="JK49" s="20"/>
      <c r="JL49" s="20"/>
      <c r="JM49" s="20"/>
      <c r="JN49" s="20"/>
      <c r="JO49" s="20"/>
      <c r="JP49" s="20"/>
      <c r="JQ49" s="20"/>
      <c r="JR49" s="20"/>
      <c r="JS49" s="20"/>
      <c r="JT49" s="20"/>
      <c r="JU49" s="20"/>
      <c r="JV49" s="20"/>
      <c r="JW49" s="20"/>
      <c r="JX49" s="20"/>
      <c r="JY49" s="20"/>
      <c r="JZ49" s="20"/>
      <c r="KA49" s="20"/>
      <c r="KB49" s="20"/>
      <c r="KC49" s="20"/>
      <c r="KD49" s="20"/>
      <c r="KE49" s="20"/>
      <c r="KF49" s="20"/>
      <c r="KG49" s="20"/>
      <c r="KH49" s="20"/>
      <c r="KI49" s="20"/>
      <c r="KJ49" s="20"/>
      <c r="KK49" s="20"/>
      <c r="KL49" s="20"/>
      <c r="KM49" s="20"/>
      <c r="KN49" s="20"/>
      <c r="KO49" s="20"/>
      <c r="KP49" s="20"/>
      <c r="KQ49" s="20"/>
      <c r="KR49" s="20"/>
      <c r="KS49" s="20"/>
      <c r="KT49" s="20"/>
      <c r="KU49" s="20"/>
      <c r="KV49" s="20"/>
      <c r="KW49" s="20"/>
      <c r="KX49" s="20"/>
      <c r="KY49" s="20"/>
      <c r="KZ49" s="20"/>
      <c r="LA49" s="20"/>
      <c r="LB49" s="20"/>
      <c r="LC49" s="20"/>
      <c r="LD49" s="20"/>
      <c r="LE49" s="20"/>
      <c r="LF49" s="20"/>
      <c r="LG49" s="20"/>
      <c r="LH49" s="20"/>
      <c r="LI49" s="20"/>
      <c r="LJ49" s="20"/>
      <c r="LK49" s="20"/>
      <c r="LL49" s="20"/>
      <c r="LM49" s="20"/>
      <c r="LN49" s="20"/>
      <c r="LO49" s="20"/>
      <c r="LP49" s="20"/>
      <c r="LQ49" s="20"/>
      <c r="LR49" s="20"/>
      <c r="LS49" s="20"/>
      <c r="LT49" s="20"/>
      <c r="LU49" s="20"/>
      <c r="LV49" s="20"/>
      <c r="LW49" s="20"/>
      <c r="LX49" s="20"/>
      <c r="LY49" s="20"/>
      <c r="LZ49" s="20"/>
      <c r="MA49" s="20"/>
      <c r="MB49" s="20"/>
      <c r="MC49" s="20"/>
      <c r="MD49" s="20"/>
      <c r="ME49" s="20"/>
      <c r="MF49" s="20"/>
      <c r="MG49" s="20"/>
      <c r="MH49" s="20"/>
      <c r="MI49" s="20"/>
      <c r="MJ49" s="20"/>
      <c r="MK49" s="20"/>
      <c r="ML49" s="20"/>
      <c r="MM49" s="20"/>
      <c r="MN49" s="20"/>
      <c r="MO49" s="20"/>
      <c r="MP49" s="20"/>
      <c r="MQ49" s="20"/>
      <c r="MR49" s="20"/>
      <c r="MS49" s="20"/>
      <c r="MT49" s="20"/>
      <c r="MU49" s="20"/>
      <c r="MV49" s="20"/>
      <c r="MW49" s="20"/>
      <c r="MX49" s="20"/>
      <c r="MY49" s="20"/>
      <c r="MZ49" s="20"/>
      <c r="NA49" s="20"/>
      <c r="NB49" s="20"/>
      <c r="NC49" s="20"/>
      <c r="ND49" s="20"/>
      <c r="NE49" s="20"/>
      <c r="NF49" s="20"/>
      <c r="NG49" s="20"/>
      <c r="NH49" s="20"/>
      <c r="NI49" s="20"/>
      <c r="NJ49" s="20"/>
      <c r="NK49" s="20"/>
      <c r="NL49" s="20"/>
      <c r="NM49" s="20"/>
      <c r="NN49" s="20"/>
      <c r="NO49" s="20"/>
      <c r="NP49" s="20"/>
      <c r="NQ49" s="20"/>
      <c r="NR49" s="20"/>
      <c r="NS49" s="20"/>
      <c r="NT49" s="20"/>
      <c r="NU49" s="20"/>
      <c r="NV49" s="20"/>
      <c r="NW49" s="20"/>
      <c r="NX49" s="20"/>
      <c r="NY49" s="20"/>
      <c r="NZ49" s="20"/>
      <c r="OA49" s="20"/>
      <c r="OB49" s="20"/>
      <c r="OC49" s="20"/>
      <c r="OD49" s="20"/>
      <c r="OE49" s="20"/>
      <c r="OF49" s="20"/>
      <c r="OG49" s="20"/>
      <c r="OH49" s="20"/>
      <c r="OI49" s="20"/>
      <c r="OJ49" s="20"/>
      <c r="OK49" s="20"/>
      <c r="OL49" s="20"/>
      <c r="OM49" s="20"/>
      <c r="ON49" s="20"/>
      <c r="OO49" s="20"/>
      <c r="OP49" s="20"/>
      <c r="OQ49" s="20"/>
      <c r="OR49" s="20"/>
      <c r="OS49" s="20"/>
      <c r="OT49" s="20"/>
      <c r="OU49" s="20"/>
      <c r="OV49" s="20"/>
      <c r="OW49" s="20"/>
      <c r="OX49" s="20"/>
      <c r="OY49" s="20"/>
      <c r="OZ49" s="20"/>
      <c r="PA49" s="20"/>
      <c r="PB49" s="20"/>
      <c r="PC49" s="20"/>
      <c r="PD49" s="20"/>
      <c r="PE49" s="20"/>
      <c r="PF49" s="20"/>
      <c r="PG49" s="20"/>
      <c r="PH49" s="20"/>
      <c r="PI49" s="20"/>
      <c r="PJ49" s="20"/>
      <c r="PK49" s="20"/>
      <c r="PL49" s="20"/>
      <c r="PM49" s="20"/>
      <c r="PN49" s="20"/>
      <c r="PO49" s="20"/>
      <c r="PP49" s="20"/>
      <c r="PQ49" s="20"/>
      <c r="PR49" s="20"/>
      <c r="PS49" s="20"/>
      <c r="PT49" s="20"/>
      <c r="PU49" s="20"/>
      <c r="PV49" s="20"/>
      <c r="PW49" s="20"/>
      <c r="PX49" s="20"/>
      <c r="PY49" s="20"/>
      <c r="PZ49" s="20"/>
      <c r="QA49" s="20"/>
      <c r="QB49" s="20"/>
      <c r="QC49" s="20"/>
      <c r="QD49" s="20"/>
      <c r="QE49" s="20"/>
      <c r="QF49" s="20"/>
      <c r="QG49" s="20"/>
      <c r="QH49" s="20"/>
      <c r="QI49" s="20"/>
      <c r="QJ49" s="20"/>
      <c r="QK49" s="20"/>
      <c r="QL49" s="20"/>
      <c r="QM49" s="20"/>
      <c r="QN49" s="20"/>
      <c r="QO49" s="20"/>
      <c r="QP49" s="20"/>
      <c r="QQ49" s="20"/>
      <c r="QR49" s="20"/>
      <c r="QS49" s="20"/>
      <c r="QT49" s="20"/>
      <c r="QU49" s="20"/>
      <c r="QV49" s="20"/>
      <c r="QW49" s="20"/>
      <c r="QX49" s="20"/>
      <c r="QY49" s="20"/>
      <c r="QZ49" s="20"/>
      <c r="RA49" s="20"/>
      <c r="RB49" s="20"/>
      <c r="RC49" s="20"/>
      <c r="RD49" s="20"/>
      <c r="RE49" s="20"/>
      <c r="RF49" s="20"/>
      <c r="RG49" s="20"/>
      <c r="RH49" s="20"/>
      <c r="RI49" s="20"/>
      <c r="RJ49" s="20"/>
      <c r="RK49" s="20"/>
      <c r="RL49" s="20"/>
      <c r="RM49" s="20"/>
      <c r="RN49" s="20"/>
      <c r="RO49" s="20"/>
      <c r="RP49" s="20"/>
      <c r="RQ49" s="20"/>
      <c r="RR49" s="20"/>
      <c r="RS49" s="20"/>
      <c r="RT49" s="20"/>
      <c r="RU49" s="20"/>
      <c r="RV49" s="20"/>
      <c r="RW49" s="20"/>
      <c r="RX49" s="20"/>
      <c r="RY49" s="20"/>
      <c r="RZ49" s="20"/>
      <c r="SA49" s="20"/>
      <c r="SB49" s="20"/>
      <c r="SC49" s="20"/>
      <c r="SD49" s="20"/>
      <c r="SE49" s="20"/>
      <c r="SF49" s="20"/>
      <c r="SG49" s="20"/>
      <c r="SH49" s="20"/>
      <c r="SI49" s="20"/>
      <c r="SJ49" s="20"/>
      <c r="SK49" s="20"/>
      <c r="SL49" s="20"/>
      <c r="SM49" s="20"/>
      <c r="SN49" s="20"/>
      <c r="SO49" s="20"/>
      <c r="SP49" s="20"/>
      <c r="SQ49" s="20"/>
      <c r="SR49" s="20"/>
      <c r="SS49" s="20"/>
      <c r="ST49" s="20"/>
      <c r="SU49" s="20"/>
      <c r="SV49" s="20"/>
      <c r="SW49" s="20"/>
      <c r="SX49" s="20"/>
      <c r="SY49" s="20"/>
      <c r="SZ49" s="20"/>
      <c r="TA49" s="20"/>
      <c r="TB49" s="20"/>
      <c r="TC49" s="20"/>
      <c r="TD49" s="20"/>
      <c r="TE49" s="20"/>
      <c r="TF49" s="20"/>
      <c r="TG49" s="20"/>
      <c r="TH49" s="20"/>
      <c r="TI49" s="20"/>
      <c r="TJ49" s="20"/>
      <c r="TK49" s="20"/>
      <c r="TL49" s="20"/>
      <c r="TM49" s="20"/>
      <c r="TN49" s="20"/>
      <c r="TO49" s="20"/>
      <c r="TP49" s="20"/>
      <c r="TQ49" s="20"/>
      <c r="TR49" s="20"/>
      <c r="TS49" s="20"/>
      <c r="TT49" s="20"/>
      <c r="TU49" s="20"/>
      <c r="TV49" s="20"/>
      <c r="TW49" s="20"/>
      <c r="TX49" s="20"/>
      <c r="TY49" s="20"/>
      <c r="TZ49" s="20"/>
      <c r="UA49" s="20"/>
      <c r="UB49" s="20"/>
      <c r="UC49" s="20"/>
      <c r="UD49" s="20"/>
      <c r="UE49" s="20"/>
      <c r="UF49" s="20"/>
      <c r="UG49" s="20"/>
      <c r="UH49" s="20"/>
      <c r="UI49" s="20"/>
      <c r="UJ49" s="20"/>
      <c r="UK49" s="20"/>
      <c r="UL49" s="20"/>
      <c r="UM49" s="20"/>
      <c r="UN49" s="20"/>
      <c r="UO49" s="20"/>
      <c r="UP49" s="20"/>
      <c r="UQ49" s="20"/>
      <c r="UR49" s="20"/>
      <c r="US49" s="20"/>
      <c r="UT49" s="20"/>
      <c r="UU49" s="20"/>
      <c r="UV49" s="20"/>
      <c r="UW49" s="20"/>
      <c r="UX49" s="20"/>
      <c r="UY49" s="20"/>
      <c r="UZ49" s="20"/>
      <c r="VA49" s="20"/>
      <c r="VB49" s="20"/>
      <c r="VC49" s="20"/>
      <c r="VD49" s="20"/>
      <c r="VE49" s="20"/>
      <c r="VF49" s="20"/>
      <c r="VG49" s="20"/>
      <c r="VH49" s="20"/>
      <c r="VI49" s="20"/>
      <c r="VJ49" s="20"/>
      <c r="VK49" s="20"/>
      <c r="VL49" s="20"/>
      <c r="VM49" s="20"/>
      <c r="VN49" s="20"/>
      <c r="VO49" s="20"/>
      <c r="VP49" s="20"/>
      <c r="VQ49" s="20"/>
      <c r="VR49" s="20"/>
      <c r="VS49" s="20"/>
      <c r="VT49" s="20"/>
      <c r="VU49" s="20"/>
      <c r="VV49" s="20"/>
      <c r="VW49" s="20"/>
      <c r="VX49" s="20"/>
      <c r="VY49" s="20"/>
      <c r="VZ49" s="20"/>
      <c r="WA49" s="20"/>
      <c r="WB49" s="20"/>
      <c r="WC49" s="20"/>
      <c r="WD49" s="20"/>
      <c r="WE49" s="20"/>
      <c r="WF49" s="20"/>
      <c r="WG49" s="20"/>
      <c r="WH49" s="20"/>
      <c r="WI49" s="20"/>
      <c r="WJ49" s="20"/>
      <c r="WK49" s="20"/>
      <c r="WL49" s="20"/>
      <c r="WM49" s="20"/>
      <c r="WN49" s="20"/>
      <c r="WO49" s="20"/>
      <c r="WP49" s="20"/>
      <c r="WQ49" s="20"/>
      <c r="WR49" s="20"/>
      <c r="WS49" s="20"/>
      <c r="WT49" s="20"/>
      <c r="WU49" s="20"/>
      <c r="WV49" s="20"/>
      <c r="WW49" s="20"/>
      <c r="WX49" s="20"/>
      <c r="WY49" s="20"/>
      <c r="WZ49" s="20"/>
      <c r="XA49" s="20"/>
      <c r="XB49" s="20"/>
      <c r="XC49" s="20"/>
      <c r="XD49" s="20"/>
      <c r="XE49" s="20"/>
      <c r="XF49" s="20"/>
      <c r="XG49" s="20"/>
      <c r="XH49" s="20"/>
      <c r="XI49" s="20"/>
      <c r="XJ49" s="20"/>
      <c r="XK49" s="20"/>
      <c r="XL49" s="20"/>
      <c r="XM49" s="20"/>
      <c r="XN49" s="20"/>
      <c r="XO49" s="20"/>
      <c r="XP49" s="20"/>
      <c r="XQ49" s="20"/>
      <c r="XR49" s="20"/>
      <c r="XS49" s="20"/>
      <c r="XT49" s="20"/>
      <c r="XU49" s="20"/>
      <c r="XV49" s="20"/>
      <c r="XW49" s="20"/>
      <c r="XX49" s="20"/>
      <c r="XY49" s="20"/>
      <c r="XZ49" s="20"/>
      <c r="YA49" s="20"/>
      <c r="YB49" s="20"/>
      <c r="YC49" s="20"/>
      <c r="YD49" s="20"/>
      <c r="YE49" s="20"/>
      <c r="YF49" s="20"/>
      <c r="YG49" s="20"/>
      <c r="YH49" s="20"/>
      <c r="YI49" s="20"/>
      <c r="YJ49" s="20"/>
      <c r="YK49" s="20"/>
      <c r="YL49" s="20"/>
      <c r="YM49" s="20"/>
      <c r="YN49" s="20"/>
      <c r="YO49" s="20"/>
      <c r="YP49" s="20"/>
      <c r="YQ49" s="20"/>
      <c r="YR49" s="20"/>
      <c r="YS49" s="20"/>
      <c r="YT49" s="20"/>
      <c r="YU49" s="20"/>
      <c r="YV49" s="20"/>
      <c r="YW49" s="20"/>
      <c r="YX49" s="20"/>
      <c r="YY49" s="20"/>
      <c r="YZ49" s="20"/>
      <c r="ZA49" s="20"/>
      <c r="ZB49" s="20"/>
      <c r="ZC49" s="20"/>
      <c r="ZD49" s="20"/>
      <c r="ZE49" s="20"/>
      <c r="ZF49" s="20"/>
      <c r="ZG49" s="20"/>
      <c r="ZH49" s="20"/>
      <c r="ZI49" s="20"/>
      <c r="ZJ49" s="20"/>
      <c r="ZK49" s="20"/>
      <c r="ZL49" s="20"/>
      <c r="ZM49" s="20"/>
      <c r="ZN49" s="20"/>
      <c r="ZO49" s="20"/>
      <c r="ZP49" s="20"/>
      <c r="ZQ49" s="20"/>
      <c r="ZR49" s="20"/>
      <c r="ZS49" s="20"/>
      <c r="ZT49" s="20"/>
      <c r="ZU49" s="20"/>
      <c r="ZV49" s="20"/>
      <c r="ZW49" s="20"/>
      <c r="ZX49" s="20"/>
      <c r="ZY49" s="20"/>
      <c r="ZZ49" s="20"/>
      <c r="AAA49" s="20"/>
      <c r="AAB49" s="20"/>
      <c r="AAC49" s="20"/>
      <c r="AAD49" s="20"/>
      <c r="AAE49" s="20"/>
      <c r="AAF49" s="20"/>
      <c r="AAG49" s="20"/>
      <c r="AAH49" s="20"/>
      <c r="AAI49" s="20"/>
      <c r="AAJ49" s="20"/>
      <c r="AAK49" s="20"/>
      <c r="AAL49" s="20"/>
      <c r="AAM49" s="20"/>
      <c r="AAN49" s="20"/>
      <c r="AAO49" s="20"/>
      <c r="AAP49" s="20"/>
      <c r="AAQ49" s="20"/>
      <c r="AAR49" s="20"/>
      <c r="AAS49" s="20"/>
      <c r="AAT49" s="20"/>
      <c r="AAU49" s="20"/>
      <c r="AAV49" s="20"/>
      <c r="AAW49" s="20"/>
      <c r="AAX49" s="20"/>
      <c r="AAY49" s="20"/>
      <c r="AAZ49" s="20"/>
      <c r="ABA49" s="20"/>
      <c r="ABB49" s="20"/>
      <c r="ABC49" s="20"/>
      <c r="ABD49" s="20"/>
      <c r="ABE49" s="20"/>
      <c r="ABF49" s="20"/>
      <c r="ABG49" s="20"/>
      <c r="ABH49" s="20"/>
      <c r="ABI49" s="20"/>
      <c r="ABJ49" s="20"/>
      <c r="ABK49" s="20"/>
      <c r="ABL49" s="20"/>
      <c r="ABM49" s="20"/>
      <c r="ABN49" s="20"/>
      <c r="ABO49" s="20"/>
      <c r="ABP49" s="20"/>
      <c r="ABQ49" s="20"/>
      <c r="ABR49" s="20"/>
      <c r="ABS49" s="20"/>
      <c r="ABT49" s="20"/>
      <c r="ABU49" s="20"/>
      <c r="ABV49" s="20"/>
      <c r="ABW49" s="20"/>
      <c r="ABX49" s="20"/>
      <c r="ABY49" s="20"/>
      <c r="ABZ49" s="20"/>
      <c r="ACA49" s="20"/>
      <c r="ACB49" s="20"/>
      <c r="ACC49" s="20"/>
      <c r="ACD49" s="20"/>
      <c r="ACE49" s="20"/>
      <c r="ACF49" s="20"/>
      <c r="ACG49" s="20"/>
      <c r="ACH49" s="20"/>
      <c r="ACI49" s="20"/>
      <c r="ACJ49" s="20"/>
      <c r="ACK49" s="20"/>
      <c r="ACL49" s="20"/>
      <c r="ACM49" s="20"/>
      <c r="ACN49" s="20"/>
      <c r="ACO49" s="20"/>
      <c r="ACP49" s="20"/>
      <c r="ACQ49" s="20"/>
    </row>
    <row r="50" spans="1:771" s="62" customFormat="1" ht="44.1" customHeight="1">
      <c r="A50" s="20"/>
      <c r="B50" s="61" t="s">
        <v>267</v>
      </c>
      <c r="D50" s="61" t="s">
        <v>268</v>
      </c>
      <c r="F50" s="63" t="s">
        <v>254</v>
      </c>
      <c r="H50" s="61" t="s">
        <v>262</v>
      </c>
      <c r="J50" s="61" t="s">
        <v>263</v>
      </c>
      <c r="L50" s="61" t="s">
        <v>74</v>
      </c>
      <c r="N50" s="61" t="s">
        <v>185</v>
      </c>
      <c r="P50" s="61" t="s">
        <v>269</v>
      </c>
      <c r="R50" s="61" t="s">
        <v>77</v>
      </c>
      <c r="T50" s="73" t="s">
        <v>265</v>
      </c>
      <c r="U50" s="66"/>
      <c r="V50" s="67" t="s">
        <v>79</v>
      </c>
      <c r="W50" s="68"/>
      <c r="X50" s="67" t="s">
        <v>80</v>
      </c>
      <c r="Y50" s="68"/>
      <c r="Z50" s="67" t="s">
        <v>79</v>
      </c>
      <c r="AA50" s="68"/>
      <c r="AB50" s="67" t="s">
        <v>80</v>
      </c>
      <c r="AD50" s="63" t="s">
        <v>266</v>
      </c>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c r="MP50" s="20"/>
      <c r="MQ50" s="20"/>
      <c r="MR50" s="20"/>
      <c r="MS50" s="20"/>
      <c r="MT50" s="20"/>
      <c r="MU50" s="20"/>
      <c r="MV50" s="20"/>
      <c r="MW50" s="20"/>
      <c r="MX50" s="20"/>
      <c r="MY50" s="20"/>
      <c r="MZ50" s="20"/>
      <c r="NA50" s="20"/>
      <c r="NB50" s="20"/>
      <c r="NC50" s="20"/>
      <c r="ND50" s="20"/>
      <c r="NE50" s="20"/>
      <c r="NF50" s="20"/>
      <c r="NG50" s="20"/>
      <c r="NH50" s="20"/>
      <c r="NI50" s="20"/>
      <c r="NJ50" s="20"/>
      <c r="NK50" s="20"/>
      <c r="NL50" s="20"/>
      <c r="NM50" s="20"/>
      <c r="NN50" s="20"/>
      <c r="NO50" s="20"/>
      <c r="NP50" s="20"/>
      <c r="NQ50" s="20"/>
      <c r="NR50" s="20"/>
      <c r="NS50" s="20"/>
      <c r="NT50" s="20"/>
      <c r="NU50" s="20"/>
      <c r="NV50" s="20"/>
      <c r="NW50" s="20"/>
      <c r="NX50" s="20"/>
      <c r="NY50" s="20"/>
      <c r="NZ50" s="20"/>
      <c r="OA50" s="20"/>
      <c r="OB50" s="20"/>
      <c r="OC50" s="20"/>
      <c r="OD50" s="20"/>
      <c r="OE50" s="20"/>
      <c r="OF50" s="20"/>
      <c r="OG50" s="20"/>
      <c r="OH50" s="20"/>
      <c r="OI50" s="20"/>
      <c r="OJ50" s="20"/>
      <c r="OK50" s="20"/>
      <c r="OL50" s="20"/>
      <c r="OM50" s="20"/>
      <c r="ON50" s="20"/>
      <c r="OO50" s="20"/>
      <c r="OP50" s="20"/>
      <c r="OQ50" s="20"/>
      <c r="OR50" s="20"/>
      <c r="OS50" s="20"/>
      <c r="OT50" s="20"/>
      <c r="OU50" s="20"/>
      <c r="OV50" s="20"/>
      <c r="OW50" s="20"/>
      <c r="OX50" s="20"/>
      <c r="OY50" s="20"/>
      <c r="OZ50" s="20"/>
      <c r="PA50" s="20"/>
      <c r="PB50" s="20"/>
      <c r="PC50" s="20"/>
      <c r="PD50" s="20"/>
      <c r="PE50" s="20"/>
      <c r="PF50" s="20"/>
      <c r="PG50" s="20"/>
      <c r="PH50" s="20"/>
      <c r="PI50" s="20"/>
      <c r="PJ50" s="20"/>
      <c r="PK50" s="20"/>
      <c r="PL50" s="20"/>
      <c r="PM50" s="20"/>
      <c r="PN50" s="20"/>
      <c r="PO50" s="20"/>
      <c r="PP50" s="20"/>
      <c r="PQ50" s="20"/>
      <c r="PR50" s="20"/>
      <c r="PS50" s="20"/>
      <c r="PT50" s="20"/>
      <c r="PU50" s="20"/>
      <c r="PV50" s="20"/>
      <c r="PW50" s="20"/>
      <c r="PX50" s="20"/>
      <c r="PY50" s="20"/>
      <c r="PZ50" s="20"/>
      <c r="QA50" s="20"/>
      <c r="QB50" s="20"/>
      <c r="QC50" s="20"/>
      <c r="QD50" s="20"/>
      <c r="QE50" s="20"/>
      <c r="QF50" s="20"/>
      <c r="QG50" s="20"/>
      <c r="QH50" s="20"/>
      <c r="QI50" s="20"/>
      <c r="QJ50" s="20"/>
      <c r="QK50" s="20"/>
      <c r="QL50" s="20"/>
      <c r="QM50" s="20"/>
      <c r="QN50" s="20"/>
      <c r="QO50" s="20"/>
      <c r="QP50" s="20"/>
      <c r="QQ50" s="20"/>
      <c r="QR50" s="20"/>
      <c r="QS50" s="20"/>
      <c r="QT50" s="20"/>
      <c r="QU50" s="20"/>
      <c r="QV50" s="20"/>
      <c r="QW50" s="20"/>
      <c r="QX50" s="20"/>
      <c r="QY50" s="20"/>
      <c r="QZ50" s="20"/>
      <c r="RA50" s="20"/>
      <c r="RB50" s="20"/>
      <c r="RC50" s="20"/>
      <c r="RD50" s="20"/>
      <c r="RE50" s="20"/>
      <c r="RF50" s="20"/>
      <c r="RG50" s="20"/>
      <c r="RH50" s="20"/>
      <c r="RI50" s="20"/>
      <c r="RJ50" s="20"/>
      <c r="RK50" s="20"/>
      <c r="RL50" s="20"/>
      <c r="RM50" s="20"/>
      <c r="RN50" s="20"/>
      <c r="RO50" s="20"/>
      <c r="RP50" s="20"/>
      <c r="RQ50" s="20"/>
      <c r="RR50" s="20"/>
      <c r="RS50" s="20"/>
      <c r="RT50" s="20"/>
      <c r="RU50" s="20"/>
      <c r="RV50" s="20"/>
      <c r="RW50" s="20"/>
      <c r="RX50" s="20"/>
      <c r="RY50" s="20"/>
      <c r="RZ50" s="20"/>
      <c r="SA50" s="20"/>
      <c r="SB50" s="20"/>
      <c r="SC50" s="20"/>
      <c r="SD50" s="20"/>
      <c r="SE50" s="20"/>
      <c r="SF50" s="20"/>
      <c r="SG50" s="20"/>
      <c r="SH50" s="20"/>
      <c r="SI50" s="20"/>
      <c r="SJ50" s="20"/>
      <c r="SK50" s="20"/>
      <c r="SL50" s="20"/>
      <c r="SM50" s="20"/>
      <c r="SN50" s="20"/>
      <c r="SO50" s="20"/>
      <c r="SP50" s="20"/>
      <c r="SQ50" s="20"/>
      <c r="SR50" s="20"/>
      <c r="SS50" s="20"/>
      <c r="ST50" s="20"/>
      <c r="SU50" s="20"/>
      <c r="SV50" s="20"/>
      <c r="SW50" s="20"/>
      <c r="SX50" s="20"/>
      <c r="SY50" s="20"/>
      <c r="SZ50" s="20"/>
      <c r="TA50" s="20"/>
      <c r="TB50" s="20"/>
      <c r="TC50" s="20"/>
      <c r="TD50" s="20"/>
      <c r="TE50" s="20"/>
      <c r="TF50" s="20"/>
      <c r="TG50" s="20"/>
      <c r="TH50" s="20"/>
      <c r="TI50" s="20"/>
      <c r="TJ50" s="20"/>
      <c r="TK50" s="20"/>
      <c r="TL50" s="20"/>
      <c r="TM50" s="20"/>
      <c r="TN50" s="20"/>
      <c r="TO50" s="20"/>
      <c r="TP50" s="20"/>
      <c r="TQ50" s="20"/>
      <c r="TR50" s="20"/>
      <c r="TS50" s="20"/>
      <c r="TT50" s="20"/>
      <c r="TU50" s="20"/>
      <c r="TV50" s="20"/>
      <c r="TW50" s="20"/>
      <c r="TX50" s="20"/>
      <c r="TY50" s="20"/>
      <c r="TZ50" s="20"/>
      <c r="UA50" s="20"/>
      <c r="UB50" s="20"/>
      <c r="UC50" s="20"/>
      <c r="UD50" s="20"/>
      <c r="UE50" s="20"/>
      <c r="UF50" s="20"/>
      <c r="UG50" s="20"/>
      <c r="UH50" s="20"/>
      <c r="UI50" s="20"/>
      <c r="UJ50" s="20"/>
      <c r="UK50" s="20"/>
      <c r="UL50" s="20"/>
      <c r="UM50" s="20"/>
      <c r="UN50" s="20"/>
      <c r="UO50" s="20"/>
      <c r="UP50" s="20"/>
      <c r="UQ50" s="20"/>
      <c r="UR50" s="20"/>
      <c r="US50" s="20"/>
      <c r="UT50" s="20"/>
      <c r="UU50" s="20"/>
      <c r="UV50" s="20"/>
      <c r="UW50" s="20"/>
      <c r="UX50" s="20"/>
      <c r="UY50" s="20"/>
      <c r="UZ50" s="20"/>
      <c r="VA50" s="20"/>
      <c r="VB50" s="20"/>
      <c r="VC50" s="20"/>
      <c r="VD50" s="20"/>
      <c r="VE50" s="20"/>
      <c r="VF50" s="20"/>
      <c r="VG50" s="20"/>
      <c r="VH50" s="20"/>
      <c r="VI50" s="20"/>
      <c r="VJ50" s="20"/>
      <c r="VK50" s="20"/>
      <c r="VL50" s="20"/>
      <c r="VM50" s="20"/>
      <c r="VN50" s="20"/>
      <c r="VO50" s="20"/>
      <c r="VP50" s="20"/>
      <c r="VQ50" s="20"/>
      <c r="VR50" s="20"/>
      <c r="VS50" s="20"/>
      <c r="VT50" s="20"/>
      <c r="VU50" s="20"/>
      <c r="VV50" s="20"/>
      <c r="VW50" s="20"/>
      <c r="VX50" s="20"/>
      <c r="VY50" s="20"/>
      <c r="VZ50" s="20"/>
      <c r="WA50" s="20"/>
      <c r="WB50" s="20"/>
      <c r="WC50" s="20"/>
      <c r="WD50" s="20"/>
      <c r="WE50" s="20"/>
      <c r="WF50" s="20"/>
      <c r="WG50" s="20"/>
      <c r="WH50" s="20"/>
      <c r="WI50" s="20"/>
      <c r="WJ50" s="20"/>
      <c r="WK50" s="20"/>
      <c r="WL50" s="20"/>
      <c r="WM50" s="20"/>
      <c r="WN50" s="20"/>
      <c r="WO50" s="20"/>
      <c r="WP50" s="20"/>
      <c r="WQ50" s="20"/>
      <c r="WR50" s="20"/>
      <c r="WS50" s="20"/>
      <c r="WT50" s="20"/>
      <c r="WU50" s="20"/>
      <c r="WV50" s="20"/>
      <c r="WW50" s="20"/>
      <c r="WX50" s="20"/>
      <c r="WY50" s="20"/>
      <c r="WZ50" s="20"/>
      <c r="XA50" s="20"/>
      <c r="XB50" s="20"/>
      <c r="XC50" s="20"/>
      <c r="XD50" s="20"/>
      <c r="XE50" s="20"/>
      <c r="XF50" s="20"/>
      <c r="XG50" s="20"/>
      <c r="XH50" s="20"/>
      <c r="XI50" s="20"/>
      <c r="XJ50" s="20"/>
      <c r="XK50" s="20"/>
      <c r="XL50" s="20"/>
      <c r="XM50" s="20"/>
      <c r="XN50" s="20"/>
      <c r="XO50" s="20"/>
      <c r="XP50" s="20"/>
      <c r="XQ50" s="20"/>
      <c r="XR50" s="20"/>
      <c r="XS50" s="20"/>
      <c r="XT50" s="20"/>
      <c r="XU50" s="20"/>
      <c r="XV50" s="20"/>
      <c r="XW50" s="20"/>
      <c r="XX50" s="20"/>
      <c r="XY50" s="20"/>
      <c r="XZ50" s="20"/>
      <c r="YA50" s="20"/>
      <c r="YB50" s="20"/>
      <c r="YC50" s="20"/>
      <c r="YD50" s="20"/>
      <c r="YE50" s="20"/>
      <c r="YF50" s="20"/>
      <c r="YG50" s="20"/>
      <c r="YH50" s="20"/>
      <c r="YI50" s="20"/>
      <c r="YJ50" s="20"/>
      <c r="YK50" s="20"/>
      <c r="YL50" s="20"/>
      <c r="YM50" s="20"/>
      <c r="YN50" s="20"/>
      <c r="YO50" s="20"/>
      <c r="YP50" s="20"/>
      <c r="YQ50" s="20"/>
      <c r="YR50" s="20"/>
      <c r="YS50" s="20"/>
      <c r="YT50" s="20"/>
      <c r="YU50" s="20"/>
      <c r="YV50" s="20"/>
      <c r="YW50" s="20"/>
      <c r="YX50" s="20"/>
      <c r="YY50" s="20"/>
      <c r="YZ50" s="20"/>
      <c r="ZA50" s="20"/>
      <c r="ZB50" s="20"/>
      <c r="ZC50" s="20"/>
      <c r="ZD50" s="20"/>
      <c r="ZE50" s="20"/>
      <c r="ZF50" s="20"/>
      <c r="ZG50" s="20"/>
      <c r="ZH50" s="20"/>
      <c r="ZI50" s="20"/>
      <c r="ZJ50" s="20"/>
      <c r="ZK50" s="20"/>
      <c r="ZL50" s="20"/>
      <c r="ZM50" s="20"/>
      <c r="ZN50" s="20"/>
      <c r="ZO50" s="20"/>
      <c r="ZP50" s="20"/>
      <c r="ZQ50" s="20"/>
      <c r="ZR50" s="20"/>
      <c r="ZS50" s="20"/>
      <c r="ZT50" s="20"/>
      <c r="ZU50" s="20"/>
      <c r="ZV50" s="20"/>
      <c r="ZW50" s="20"/>
      <c r="ZX50" s="20"/>
      <c r="ZY50" s="20"/>
      <c r="ZZ50" s="20"/>
      <c r="AAA50" s="20"/>
      <c r="AAB50" s="20"/>
      <c r="AAC50" s="20"/>
      <c r="AAD50" s="20"/>
      <c r="AAE50" s="20"/>
      <c r="AAF50" s="20"/>
      <c r="AAG50" s="20"/>
      <c r="AAH50" s="20"/>
      <c r="AAI50" s="20"/>
      <c r="AAJ50" s="20"/>
      <c r="AAK50" s="20"/>
      <c r="AAL50" s="20"/>
      <c r="AAM50" s="20"/>
      <c r="AAN50" s="20"/>
      <c r="AAO50" s="20"/>
      <c r="AAP50" s="20"/>
      <c r="AAQ50" s="20"/>
      <c r="AAR50" s="20"/>
      <c r="AAS50" s="20"/>
      <c r="AAT50" s="20"/>
      <c r="AAU50" s="20"/>
      <c r="AAV50" s="20"/>
      <c r="AAW50" s="20"/>
      <c r="AAX50" s="20"/>
      <c r="AAY50" s="20"/>
      <c r="AAZ50" s="20"/>
      <c r="ABA50" s="20"/>
      <c r="ABB50" s="20"/>
      <c r="ABC50" s="20"/>
      <c r="ABD50" s="20"/>
      <c r="ABE50" s="20"/>
      <c r="ABF50" s="20"/>
      <c r="ABG50" s="20"/>
      <c r="ABH50" s="20"/>
      <c r="ABI50" s="20"/>
      <c r="ABJ50" s="20"/>
      <c r="ABK50" s="20"/>
      <c r="ABL50" s="20"/>
      <c r="ABM50" s="20"/>
      <c r="ABN50" s="20"/>
      <c r="ABO50" s="20"/>
      <c r="ABP50" s="20"/>
      <c r="ABQ50" s="20"/>
      <c r="ABR50" s="20"/>
      <c r="ABS50" s="20"/>
      <c r="ABT50" s="20"/>
      <c r="ABU50" s="20"/>
      <c r="ABV50" s="20"/>
      <c r="ABW50" s="20"/>
      <c r="ABX50" s="20"/>
      <c r="ABY50" s="20"/>
      <c r="ABZ50" s="20"/>
      <c r="ACA50" s="20"/>
      <c r="ACB50" s="20"/>
      <c r="ACC50" s="20"/>
      <c r="ACD50" s="20"/>
      <c r="ACE50" s="20"/>
      <c r="ACF50" s="20"/>
      <c r="ACG50" s="20"/>
      <c r="ACH50" s="20"/>
      <c r="ACI50" s="20"/>
      <c r="ACJ50" s="20"/>
      <c r="ACK50" s="20"/>
      <c r="ACL50" s="20"/>
      <c r="ACM50" s="20"/>
      <c r="ACN50" s="20"/>
      <c r="ACO50" s="20"/>
      <c r="ACP50" s="20"/>
      <c r="ACQ50" s="20"/>
    </row>
    <row r="51" spans="1:771" s="115" customFormat="1" ht="119.1">
      <c r="A51" s="83"/>
      <c r="B51" s="109" t="s">
        <v>270</v>
      </c>
      <c r="C51" s="110"/>
      <c r="D51" s="109" t="s">
        <v>71</v>
      </c>
      <c r="E51" s="110"/>
      <c r="F51" s="109" t="s">
        <v>271</v>
      </c>
      <c r="G51" s="110"/>
      <c r="H51" s="109" t="s">
        <v>272</v>
      </c>
      <c r="I51" s="110"/>
      <c r="J51" s="109" t="s">
        <v>263</v>
      </c>
      <c r="K51" s="110"/>
      <c r="L51" s="61" t="s">
        <v>74</v>
      </c>
      <c r="M51" s="110"/>
      <c r="N51" s="109" t="s">
        <v>103</v>
      </c>
      <c r="O51" s="110"/>
      <c r="P51" s="109" t="s">
        <v>273</v>
      </c>
      <c r="Q51" s="110"/>
      <c r="R51" s="111" t="s">
        <v>274</v>
      </c>
      <c r="S51" s="110"/>
      <c r="T51" s="112" t="s">
        <v>275</v>
      </c>
      <c r="U51" s="113"/>
      <c r="V51" s="67" t="s">
        <v>79</v>
      </c>
      <c r="W51" s="68"/>
      <c r="X51" s="67" t="s">
        <v>79</v>
      </c>
      <c r="Y51" s="68"/>
      <c r="Z51" s="67" t="s">
        <v>79</v>
      </c>
      <c r="AA51" s="68"/>
      <c r="AB51" s="114" t="s">
        <v>276</v>
      </c>
      <c r="AD51" s="109" t="s">
        <v>277</v>
      </c>
      <c r="AE51" s="20"/>
      <c r="AF51" s="83"/>
      <c r="AG51" s="83"/>
      <c r="AH51" s="83"/>
      <c r="AI51" s="83"/>
      <c r="AJ51" s="83"/>
      <c r="AK51" s="83"/>
      <c r="AL51" s="83"/>
      <c r="AM51" s="83"/>
      <c r="AN51" s="83"/>
      <c r="AO51" s="83"/>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19"/>
      <c r="IU51" s="119"/>
      <c r="IV51" s="119"/>
      <c r="IW51" s="119"/>
      <c r="IX51" s="119"/>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19"/>
      <c r="NJ51" s="119"/>
      <c r="NK51" s="119"/>
      <c r="NL51" s="119"/>
      <c r="NM51" s="119"/>
      <c r="NN51" s="119"/>
      <c r="NO51" s="119"/>
      <c r="NP51" s="119"/>
      <c r="NQ51" s="119"/>
      <c r="NR51" s="119"/>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19"/>
      <c r="SD51" s="119"/>
      <c r="SE51" s="119"/>
      <c r="SF51" s="119"/>
      <c r="SG51" s="119"/>
      <c r="SH51" s="119"/>
      <c r="SI51" s="119"/>
      <c r="SJ51" s="119"/>
      <c r="SK51" s="119"/>
      <c r="SL51" s="119"/>
      <c r="SM51" s="119"/>
      <c r="SN51" s="119"/>
      <c r="SO51" s="119"/>
      <c r="SP51" s="119"/>
      <c r="SQ51" s="119"/>
      <c r="SR51" s="119"/>
      <c r="SS51" s="119"/>
      <c r="ST51" s="119"/>
      <c r="SU51" s="119"/>
      <c r="SV51" s="119"/>
      <c r="SW51" s="119"/>
      <c r="SX51" s="119"/>
      <c r="SY51" s="119"/>
      <c r="SZ51" s="119"/>
      <c r="TA51" s="119"/>
      <c r="TB51" s="119"/>
      <c r="TC51" s="119"/>
      <c r="TD51" s="119"/>
      <c r="TE51" s="119"/>
      <c r="TF51" s="119"/>
      <c r="TG51" s="119"/>
      <c r="TH51" s="119"/>
      <c r="TI51" s="119"/>
      <c r="TJ51" s="119"/>
      <c r="TK51" s="119"/>
      <c r="TL51" s="119"/>
      <c r="TM51" s="119"/>
      <c r="TN51" s="119"/>
      <c r="TO51" s="119"/>
      <c r="TP51" s="119"/>
      <c r="TQ51" s="119"/>
      <c r="TR51" s="119"/>
      <c r="TS51" s="119"/>
      <c r="TT51" s="119"/>
      <c r="TU51" s="119"/>
      <c r="TV51" s="119"/>
      <c r="TW51" s="119"/>
      <c r="TX51" s="119"/>
      <c r="TY51" s="119"/>
      <c r="TZ51" s="119"/>
      <c r="UA51" s="119"/>
      <c r="UB51" s="119"/>
      <c r="UC51" s="119"/>
      <c r="UD51" s="119"/>
      <c r="UE51" s="119"/>
      <c r="UF51" s="119"/>
      <c r="UG51" s="119"/>
      <c r="UH51" s="119"/>
      <c r="UI51" s="119"/>
      <c r="UJ51" s="119"/>
      <c r="UK51" s="119"/>
      <c r="UL51" s="119"/>
      <c r="UM51" s="119"/>
      <c r="UN51" s="119"/>
      <c r="UO51" s="119"/>
      <c r="UP51" s="119"/>
      <c r="UQ51" s="119"/>
      <c r="UR51" s="119"/>
      <c r="US51" s="119"/>
      <c r="UT51" s="119"/>
      <c r="UU51" s="119"/>
      <c r="UV51" s="119"/>
      <c r="UW51" s="119"/>
      <c r="UX51" s="119"/>
      <c r="UY51" s="119"/>
      <c r="UZ51" s="119"/>
      <c r="VA51" s="119"/>
      <c r="VB51" s="119"/>
      <c r="VC51" s="119"/>
      <c r="VD51" s="119"/>
      <c r="VE51" s="119"/>
      <c r="VF51" s="119"/>
      <c r="VG51" s="119"/>
      <c r="VH51" s="119"/>
      <c r="VI51" s="119"/>
      <c r="VJ51" s="119"/>
      <c r="VK51" s="119"/>
      <c r="VL51" s="119"/>
      <c r="VM51" s="119"/>
      <c r="VN51" s="119"/>
      <c r="VO51" s="119"/>
      <c r="VP51" s="119"/>
      <c r="VQ51" s="119"/>
      <c r="VR51" s="119"/>
      <c r="VS51" s="119"/>
      <c r="VT51" s="119"/>
      <c r="VU51" s="119"/>
      <c r="VV51" s="119"/>
      <c r="VW51" s="119"/>
      <c r="VX51" s="119"/>
      <c r="VY51" s="119"/>
      <c r="VZ51" s="119"/>
      <c r="WA51" s="119"/>
      <c r="WB51" s="119"/>
      <c r="WC51" s="119"/>
      <c r="WD51" s="119"/>
      <c r="WE51" s="119"/>
      <c r="WF51" s="119"/>
      <c r="WG51" s="119"/>
      <c r="WH51" s="119"/>
      <c r="WI51" s="119"/>
      <c r="WJ51" s="119"/>
      <c r="WK51" s="119"/>
      <c r="WL51" s="119"/>
      <c r="WM51" s="119"/>
      <c r="WN51" s="119"/>
      <c r="WO51" s="119"/>
      <c r="WP51" s="119"/>
      <c r="WQ51" s="119"/>
      <c r="WR51" s="119"/>
      <c r="WS51" s="119"/>
      <c r="WT51" s="119"/>
      <c r="WU51" s="119"/>
      <c r="WV51" s="119"/>
      <c r="WW51" s="119"/>
      <c r="WX51" s="119"/>
      <c r="WY51" s="119"/>
      <c r="WZ51" s="119"/>
      <c r="XA51" s="119"/>
      <c r="XB51" s="119"/>
      <c r="XC51" s="119"/>
      <c r="XD51" s="119"/>
      <c r="XE51" s="119"/>
      <c r="XF51" s="119"/>
      <c r="XG51" s="119"/>
      <c r="XH51" s="119"/>
      <c r="XI51" s="119"/>
      <c r="XJ51" s="119"/>
      <c r="XK51" s="119"/>
      <c r="XL51" s="119"/>
      <c r="XM51" s="119"/>
      <c r="XN51" s="119"/>
      <c r="XO51" s="119"/>
      <c r="XP51" s="119"/>
      <c r="XQ51" s="119"/>
      <c r="XR51" s="119"/>
      <c r="XS51" s="119"/>
      <c r="XT51" s="119"/>
      <c r="XU51" s="119"/>
      <c r="XV51" s="119"/>
      <c r="XW51" s="119"/>
      <c r="XX51" s="119"/>
      <c r="XY51" s="119"/>
      <c r="XZ51" s="119"/>
      <c r="YA51" s="119"/>
      <c r="YB51" s="119"/>
      <c r="YC51" s="119"/>
      <c r="YD51" s="119"/>
      <c r="YE51" s="119"/>
      <c r="YF51" s="119"/>
      <c r="YG51" s="119"/>
      <c r="YH51" s="119"/>
      <c r="YI51" s="119"/>
      <c r="YJ51" s="119"/>
      <c r="YK51" s="119"/>
      <c r="YL51" s="119"/>
      <c r="YM51" s="119"/>
      <c r="YN51" s="119"/>
      <c r="YO51" s="119"/>
      <c r="YP51" s="119"/>
      <c r="YQ51" s="119"/>
      <c r="YR51" s="119"/>
      <c r="YS51" s="119"/>
      <c r="YT51" s="119"/>
      <c r="YU51" s="119"/>
      <c r="YV51" s="119"/>
      <c r="YW51" s="119"/>
      <c r="YX51" s="119"/>
      <c r="YY51" s="119"/>
      <c r="YZ51" s="119"/>
      <c r="ZA51" s="119"/>
      <c r="ZB51" s="119"/>
      <c r="ZC51" s="119"/>
      <c r="ZD51" s="119"/>
      <c r="ZE51" s="119"/>
      <c r="ZF51" s="119"/>
      <c r="ZG51" s="119"/>
      <c r="ZH51" s="119"/>
      <c r="ZI51" s="119"/>
      <c r="ZJ51" s="119"/>
      <c r="ZK51" s="119"/>
      <c r="ZL51" s="119"/>
      <c r="ZM51" s="119"/>
      <c r="ZN51" s="119"/>
      <c r="ZO51" s="119"/>
      <c r="ZP51" s="119"/>
      <c r="ZQ51" s="119"/>
      <c r="ZR51" s="119"/>
      <c r="ZS51" s="119"/>
      <c r="ZT51" s="119"/>
      <c r="ZU51" s="119"/>
      <c r="ZV51" s="119"/>
      <c r="ZW51" s="119"/>
      <c r="ZX51" s="119"/>
      <c r="ZY51" s="119"/>
      <c r="ZZ51" s="119"/>
      <c r="AAA51" s="119"/>
      <c r="AAB51" s="119"/>
      <c r="AAC51" s="119"/>
      <c r="AAD51" s="119"/>
      <c r="AAE51" s="119"/>
      <c r="AAF51" s="119"/>
      <c r="AAG51" s="119"/>
      <c r="AAH51" s="119"/>
      <c r="AAI51" s="119"/>
      <c r="AAJ51" s="119"/>
      <c r="AAK51" s="119"/>
      <c r="AAL51" s="119"/>
      <c r="AAM51" s="119"/>
      <c r="AAN51" s="119"/>
      <c r="AAO51" s="119"/>
      <c r="AAP51" s="119"/>
      <c r="AAQ51" s="119"/>
      <c r="AAR51" s="119"/>
      <c r="AAS51" s="119"/>
      <c r="AAT51" s="119"/>
      <c r="AAU51" s="119"/>
      <c r="AAV51" s="119"/>
      <c r="AAW51" s="119"/>
      <c r="AAX51" s="119"/>
      <c r="AAY51" s="119"/>
      <c r="AAZ51" s="119"/>
      <c r="ABA51" s="119"/>
      <c r="ABB51" s="119"/>
      <c r="ABC51" s="119"/>
      <c r="ABD51" s="119"/>
      <c r="ABE51" s="119"/>
      <c r="ABF51" s="119"/>
      <c r="ABG51" s="119"/>
      <c r="ABH51" s="119"/>
      <c r="ABI51" s="119"/>
      <c r="ABJ51" s="119"/>
      <c r="ABK51" s="119"/>
      <c r="ABL51" s="119"/>
      <c r="ABM51" s="119"/>
      <c r="ABN51" s="119"/>
      <c r="ABO51" s="119"/>
      <c r="ABP51" s="119"/>
      <c r="ABQ51" s="119"/>
      <c r="ABR51" s="119"/>
      <c r="ABS51" s="119"/>
      <c r="ABT51" s="119"/>
      <c r="ABU51" s="119"/>
      <c r="ABV51" s="119"/>
      <c r="ABW51" s="119"/>
      <c r="ABX51" s="119"/>
      <c r="ABY51" s="119"/>
      <c r="ABZ51" s="119"/>
      <c r="ACA51" s="119"/>
      <c r="ACB51" s="119"/>
      <c r="ACC51" s="119"/>
      <c r="ACD51" s="119"/>
      <c r="ACE51" s="119"/>
      <c r="ACF51" s="119"/>
      <c r="ACG51" s="119"/>
      <c r="ACH51" s="119"/>
      <c r="ACI51" s="119"/>
      <c r="ACJ51" s="119"/>
      <c r="ACK51" s="119"/>
      <c r="ACL51" s="119"/>
      <c r="ACM51" s="119"/>
      <c r="ACN51" s="119"/>
      <c r="ACO51" s="119"/>
      <c r="ACP51" s="119"/>
      <c r="ACQ51" s="119"/>
    </row>
    <row r="52" spans="1:771" s="115" customFormat="1" ht="119.1">
      <c r="A52" s="120"/>
      <c r="B52" s="109" t="s">
        <v>270</v>
      </c>
      <c r="C52" s="110"/>
      <c r="D52" s="109" t="s">
        <v>71</v>
      </c>
      <c r="E52" s="110"/>
      <c r="F52" s="109" t="s">
        <v>271</v>
      </c>
      <c r="G52" s="110"/>
      <c r="H52" s="109" t="s">
        <v>278</v>
      </c>
      <c r="I52" s="110"/>
      <c r="J52" s="109" t="s">
        <v>263</v>
      </c>
      <c r="K52" s="110"/>
      <c r="L52" s="61" t="s">
        <v>74</v>
      </c>
      <c r="M52" s="110"/>
      <c r="N52" s="110" t="s">
        <v>279</v>
      </c>
      <c r="O52" s="110"/>
      <c r="P52" s="109" t="s">
        <v>273</v>
      </c>
      <c r="Q52" s="110"/>
      <c r="R52" s="111" t="s">
        <v>274</v>
      </c>
      <c r="S52" s="110"/>
      <c r="T52" s="112" t="s">
        <v>280</v>
      </c>
      <c r="U52" s="113"/>
      <c r="V52" s="67" t="s">
        <v>79</v>
      </c>
      <c r="W52" s="68"/>
      <c r="X52" s="67" t="s">
        <v>79</v>
      </c>
      <c r="Y52" s="68"/>
      <c r="Z52" s="67" t="s">
        <v>79</v>
      </c>
      <c r="AA52" s="68"/>
      <c r="AB52" s="114" t="s">
        <v>276</v>
      </c>
      <c r="AD52" s="109" t="s">
        <v>277</v>
      </c>
      <c r="AE52" s="20"/>
      <c r="AF52" s="83"/>
      <c r="AG52" s="83"/>
      <c r="AH52" s="83"/>
      <c r="AI52" s="83"/>
      <c r="AJ52" s="83"/>
      <c r="AK52" s="83"/>
      <c r="AL52" s="83"/>
      <c r="AM52" s="83"/>
      <c r="AN52" s="83"/>
      <c r="AO52" s="83"/>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19"/>
      <c r="IU52" s="119"/>
      <c r="IV52" s="119"/>
      <c r="IW52" s="119"/>
      <c r="IX52" s="119"/>
      <c r="IY52" s="119"/>
      <c r="IZ52" s="119"/>
      <c r="JA52" s="119"/>
      <c r="JB52" s="119"/>
      <c r="JC52" s="119"/>
      <c r="JD52" s="119"/>
      <c r="JE52" s="119"/>
      <c r="JF52" s="119"/>
      <c r="JG52" s="119"/>
      <c r="JH52" s="119"/>
      <c r="JI52" s="119"/>
      <c r="JJ52" s="119"/>
      <c r="JK52" s="119"/>
      <c r="JL52" s="119"/>
      <c r="JM52" s="119"/>
      <c r="JN52" s="119"/>
      <c r="JO52" s="119"/>
      <c r="JP52" s="119"/>
      <c r="JQ52" s="119"/>
      <c r="JR52" s="119"/>
      <c r="JS52" s="119"/>
      <c r="JT52" s="119"/>
      <c r="JU52" s="119"/>
      <c r="JV52" s="119"/>
      <c r="JW52" s="119"/>
      <c r="JX52" s="119"/>
      <c r="JY52" s="119"/>
      <c r="JZ52" s="119"/>
      <c r="KA52" s="119"/>
      <c r="KB52" s="119"/>
      <c r="KC52" s="119"/>
      <c r="KD52" s="119"/>
      <c r="KE52" s="119"/>
      <c r="KF52" s="119"/>
      <c r="KG52" s="119"/>
      <c r="KH52" s="119"/>
      <c r="KI52" s="119"/>
      <c r="KJ52" s="119"/>
      <c r="KK52" s="119"/>
      <c r="KL52" s="119"/>
      <c r="KM52" s="119"/>
      <c r="KN52" s="119"/>
      <c r="KO52" s="119"/>
      <c r="KP52" s="119"/>
      <c r="KQ52" s="119"/>
      <c r="KR52" s="119"/>
      <c r="KS52" s="119"/>
      <c r="KT52" s="119"/>
      <c r="KU52" s="119"/>
      <c r="KV52" s="119"/>
      <c r="KW52" s="119"/>
      <c r="KX52" s="119"/>
      <c r="KY52" s="119"/>
      <c r="KZ52" s="119"/>
      <c r="LA52" s="119"/>
      <c r="LB52" s="119"/>
      <c r="LC52" s="119"/>
      <c r="LD52" s="119"/>
      <c r="LE52" s="119"/>
      <c r="LF52" s="119"/>
      <c r="LG52" s="119"/>
      <c r="LH52" s="119"/>
      <c r="LI52" s="119"/>
      <c r="LJ52" s="119"/>
      <c r="LK52" s="119"/>
      <c r="LL52" s="119"/>
      <c r="LM52" s="119"/>
      <c r="LN52" s="119"/>
      <c r="LO52" s="119"/>
      <c r="LP52" s="119"/>
      <c r="LQ52" s="119"/>
      <c r="LR52" s="119"/>
      <c r="LS52" s="119"/>
      <c r="LT52" s="119"/>
      <c r="LU52" s="119"/>
      <c r="LV52" s="119"/>
      <c r="LW52" s="119"/>
      <c r="LX52" s="119"/>
      <c r="LY52" s="119"/>
      <c r="LZ52" s="119"/>
      <c r="MA52" s="119"/>
      <c r="MB52" s="119"/>
      <c r="MC52" s="119"/>
      <c r="MD52" s="119"/>
      <c r="ME52" s="119"/>
      <c r="MF52" s="119"/>
      <c r="MG52" s="119"/>
      <c r="MH52" s="119"/>
      <c r="MI52" s="119"/>
      <c r="MJ52" s="119"/>
      <c r="MK52" s="119"/>
      <c r="ML52" s="119"/>
      <c r="MM52" s="119"/>
      <c r="MN52" s="119"/>
      <c r="MO52" s="119"/>
      <c r="MP52" s="119"/>
      <c r="MQ52" s="119"/>
      <c r="MR52" s="119"/>
      <c r="MS52" s="119"/>
      <c r="MT52" s="119"/>
      <c r="MU52" s="119"/>
      <c r="MV52" s="119"/>
      <c r="MW52" s="119"/>
      <c r="MX52" s="119"/>
      <c r="MY52" s="119"/>
      <c r="MZ52" s="119"/>
      <c r="NA52" s="119"/>
      <c r="NB52" s="119"/>
      <c r="NC52" s="119"/>
      <c r="ND52" s="119"/>
      <c r="NE52" s="119"/>
      <c r="NF52" s="119"/>
      <c r="NG52" s="119"/>
      <c r="NH52" s="119"/>
      <c r="NI52" s="119"/>
      <c r="NJ52" s="119"/>
      <c r="NK52" s="119"/>
      <c r="NL52" s="119"/>
      <c r="NM52" s="119"/>
      <c r="NN52" s="119"/>
      <c r="NO52" s="119"/>
      <c r="NP52" s="119"/>
      <c r="NQ52" s="119"/>
      <c r="NR52" s="119"/>
      <c r="NS52" s="119"/>
      <c r="NT52" s="119"/>
      <c r="NU52" s="119"/>
      <c r="NV52" s="119"/>
      <c r="NW52" s="119"/>
      <c r="NX52" s="119"/>
      <c r="NY52" s="119"/>
      <c r="NZ52" s="119"/>
      <c r="OA52" s="119"/>
      <c r="OB52" s="119"/>
      <c r="OC52" s="119"/>
      <c r="OD52" s="119"/>
      <c r="OE52" s="119"/>
      <c r="OF52" s="119"/>
      <c r="OG52" s="119"/>
      <c r="OH52" s="119"/>
      <c r="OI52" s="119"/>
      <c r="OJ52" s="119"/>
      <c r="OK52" s="119"/>
      <c r="OL52" s="119"/>
      <c r="OM52" s="119"/>
      <c r="ON52" s="119"/>
      <c r="OO52" s="119"/>
      <c r="OP52" s="119"/>
      <c r="OQ52" s="119"/>
      <c r="OR52" s="119"/>
      <c r="OS52" s="119"/>
      <c r="OT52" s="119"/>
      <c r="OU52" s="119"/>
      <c r="OV52" s="119"/>
      <c r="OW52" s="119"/>
      <c r="OX52" s="119"/>
      <c r="OY52" s="119"/>
      <c r="OZ52" s="119"/>
      <c r="PA52" s="119"/>
      <c r="PB52" s="119"/>
      <c r="PC52" s="119"/>
      <c r="PD52" s="119"/>
      <c r="PE52" s="119"/>
      <c r="PF52" s="119"/>
      <c r="PG52" s="119"/>
      <c r="PH52" s="119"/>
      <c r="PI52" s="119"/>
      <c r="PJ52" s="119"/>
      <c r="PK52" s="119"/>
      <c r="PL52" s="119"/>
      <c r="PM52" s="119"/>
      <c r="PN52" s="119"/>
      <c r="PO52" s="119"/>
      <c r="PP52" s="119"/>
      <c r="PQ52" s="119"/>
      <c r="PR52" s="119"/>
      <c r="PS52" s="119"/>
      <c r="PT52" s="119"/>
      <c r="PU52" s="119"/>
      <c r="PV52" s="119"/>
      <c r="PW52" s="119"/>
      <c r="PX52" s="119"/>
      <c r="PY52" s="119"/>
      <c r="PZ52" s="119"/>
      <c r="QA52" s="119"/>
      <c r="QB52" s="119"/>
      <c r="QC52" s="119"/>
      <c r="QD52" s="119"/>
      <c r="QE52" s="119"/>
      <c r="QF52" s="119"/>
      <c r="QG52" s="119"/>
      <c r="QH52" s="119"/>
      <c r="QI52" s="119"/>
      <c r="QJ52" s="119"/>
      <c r="QK52" s="119"/>
      <c r="QL52" s="119"/>
      <c r="QM52" s="119"/>
      <c r="QN52" s="119"/>
      <c r="QO52" s="119"/>
      <c r="QP52" s="119"/>
      <c r="QQ52" s="119"/>
      <c r="QR52" s="119"/>
      <c r="QS52" s="119"/>
      <c r="QT52" s="119"/>
      <c r="QU52" s="119"/>
      <c r="QV52" s="119"/>
      <c r="QW52" s="119"/>
      <c r="QX52" s="119"/>
      <c r="QY52" s="119"/>
      <c r="QZ52" s="119"/>
      <c r="RA52" s="119"/>
      <c r="RB52" s="119"/>
      <c r="RC52" s="119"/>
      <c r="RD52" s="119"/>
      <c r="RE52" s="119"/>
      <c r="RF52" s="119"/>
      <c r="RG52" s="119"/>
      <c r="RH52" s="119"/>
      <c r="RI52" s="119"/>
      <c r="RJ52" s="119"/>
      <c r="RK52" s="119"/>
      <c r="RL52" s="119"/>
      <c r="RM52" s="119"/>
      <c r="RN52" s="119"/>
      <c r="RO52" s="119"/>
      <c r="RP52" s="119"/>
      <c r="RQ52" s="119"/>
      <c r="RR52" s="119"/>
      <c r="RS52" s="119"/>
      <c r="RT52" s="119"/>
      <c r="RU52" s="119"/>
      <c r="RV52" s="119"/>
      <c r="RW52" s="119"/>
      <c r="RX52" s="119"/>
      <c r="RY52" s="119"/>
      <c r="RZ52" s="119"/>
      <c r="SA52" s="119"/>
      <c r="SB52" s="119"/>
      <c r="SC52" s="119"/>
      <c r="SD52" s="119"/>
      <c r="SE52" s="119"/>
      <c r="SF52" s="119"/>
      <c r="SG52" s="119"/>
      <c r="SH52" s="119"/>
      <c r="SI52" s="119"/>
      <c r="SJ52" s="119"/>
      <c r="SK52" s="119"/>
      <c r="SL52" s="119"/>
      <c r="SM52" s="119"/>
      <c r="SN52" s="119"/>
      <c r="SO52" s="119"/>
      <c r="SP52" s="119"/>
      <c r="SQ52" s="119"/>
      <c r="SR52" s="119"/>
      <c r="SS52" s="119"/>
      <c r="ST52" s="119"/>
      <c r="SU52" s="119"/>
      <c r="SV52" s="119"/>
      <c r="SW52" s="119"/>
      <c r="SX52" s="119"/>
      <c r="SY52" s="119"/>
      <c r="SZ52" s="119"/>
      <c r="TA52" s="119"/>
      <c r="TB52" s="119"/>
      <c r="TC52" s="119"/>
      <c r="TD52" s="119"/>
      <c r="TE52" s="119"/>
      <c r="TF52" s="119"/>
      <c r="TG52" s="119"/>
      <c r="TH52" s="119"/>
      <c r="TI52" s="119"/>
      <c r="TJ52" s="119"/>
      <c r="TK52" s="119"/>
      <c r="TL52" s="119"/>
      <c r="TM52" s="119"/>
      <c r="TN52" s="119"/>
      <c r="TO52" s="119"/>
      <c r="TP52" s="119"/>
      <c r="TQ52" s="119"/>
      <c r="TR52" s="119"/>
      <c r="TS52" s="119"/>
      <c r="TT52" s="119"/>
      <c r="TU52" s="119"/>
      <c r="TV52" s="119"/>
      <c r="TW52" s="119"/>
      <c r="TX52" s="119"/>
      <c r="TY52" s="119"/>
      <c r="TZ52" s="119"/>
      <c r="UA52" s="119"/>
      <c r="UB52" s="119"/>
      <c r="UC52" s="119"/>
      <c r="UD52" s="119"/>
      <c r="UE52" s="119"/>
      <c r="UF52" s="119"/>
      <c r="UG52" s="119"/>
      <c r="UH52" s="119"/>
      <c r="UI52" s="119"/>
      <c r="UJ52" s="119"/>
      <c r="UK52" s="119"/>
      <c r="UL52" s="119"/>
      <c r="UM52" s="119"/>
      <c r="UN52" s="119"/>
      <c r="UO52" s="119"/>
      <c r="UP52" s="119"/>
      <c r="UQ52" s="119"/>
      <c r="UR52" s="119"/>
      <c r="US52" s="119"/>
      <c r="UT52" s="119"/>
      <c r="UU52" s="119"/>
      <c r="UV52" s="119"/>
      <c r="UW52" s="119"/>
      <c r="UX52" s="119"/>
      <c r="UY52" s="119"/>
      <c r="UZ52" s="119"/>
      <c r="VA52" s="119"/>
      <c r="VB52" s="119"/>
      <c r="VC52" s="119"/>
      <c r="VD52" s="119"/>
      <c r="VE52" s="119"/>
      <c r="VF52" s="119"/>
      <c r="VG52" s="119"/>
      <c r="VH52" s="119"/>
      <c r="VI52" s="119"/>
      <c r="VJ52" s="119"/>
      <c r="VK52" s="119"/>
      <c r="VL52" s="119"/>
      <c r="VM52" s="119"/>
      <c r="VN52" s="119"/>
      <c r="VO52" s="119"/>
      <c r="VP52" s="119"/>
      <c r="VQ52" s="119"/>
      <c r="VR52" s="119"/>
      <c r="VS52" s="119"/>
      <c r="VT52" s="119"/>
      <c r="VU52" s="119"/>
      <c r="VV52" s="119"/>
      <c r="VW52" s="119"/>
      <c r="VX52" s="119"/>
      <c r="VY52" s="119"/>
      <c r="VZ52" s="119"/>
      <c r="WA52" s="119"/>
      <c r="WB52" s="119"/>
      <c r="WC52" s="119"/>
      <c r="WD52" s="119"/>
      <c r="WE52" s="119"/>
      <c r="WF52" s="119"/>
      <c r="WG52" s="119"/>
      <c r="WH52" s="119"/>
      <c r="WI52" s="119"/>
      <c r="WJ52" s="119"/>
      <c r="WK52" s="119"/>
      <c r="WL52" s="119"/>
      <c r="WM52" s="119"/>
      <c r="WN52" s="119"/>
      <c r="WO52" s="119"/>
      <c r="WP52" s="119"/>
      <c r="WQ52" s="119"/>
      <c r="WR52" s="119"/>
      <c r="WS52" s="119"/>
      <c r="WT52" s="119"/>
      <c r="WU52" s="119"/>
      <c r="WV52" s="119"/>
      <c r="WW52" s="119"/>
      <c r="WX52" s="119"/>
      <c r="WY52" s="119"/>
      <c r="WZ52" s="119"/>
      <c r="XA52" s="119"/>
      <c r="XB52" s="119"/>
      <c r="XC52" s="119"/>
      <c r="XD52" s="119"/>
      <c r="XE52" s="119"/>
      <c r="XF52" s="119"/>
      <c r="XG52" s="119"/>
      <c r="XH52" s="119"/>
      <c r="XI52" s="119"/>
      <c r="XJ52" s="119"/>
      <c r="XK52" s="119"/>
      <c r="XL52" s="119"/>
      <c r="XM52" s="119"/>
      <c r="XN52" s="119"/>
      <c r="XO52" s="119"/>
      <c r="XP52" s="119"/>
      <c r="XQ52" s="119"/>
      <c r="XR52" s="119"/>
      <c r="XS52" s="119"/>
      <c r="XT52" s="119"/>
      <c r="XU52" s="119"/>
      <c r="XV52" s="119"/>
      <c r="XW52" s="119"/>
      <c r="XX52" s="119"/>
      <c r="XY52" s="119"/>
      <c r="XZ52" s="119"/>
      <c r="YA52" s="119"/>
      <c r="YB52" s="119"/>
      <c r="YC52" s="119"/>
      <c r="YD52" s="119"/>
      <c r="YE52" s="119"/>
      <c r="YF52" s="119"/>
      <c r="YG52" s="119"/>
      <c r="YH52" s="119"/>
      <c r="YI52" s="119"/>
      <c r="YJ52" s="119"/>
      <c r="YK52" s="119"/>
      <c r="YL52" s="119"/>
      <c r="YM52" s="119"/>
      <c r="YN52" s="119"/>
      <c r="YO52" s="119"/>
      <c r="YP52" s="119"/>
      <c r="YQ52" s="119"/>
      <c r="YR52" s="119"/>
      <c r="YS52" s="119"/>
      <c r="YT52" s="119"/>
      <c r="YU52" s="119"/>
      <c r="YV52" s="119"/>
      <c r="YW52" s="119"/>
      <c r="YX52" s="119"/>
      <c r="YY52" s="119"/>
      <c r="YZ52" s="119"/>
      <c r="ZA52" s="119"/>
      <c r="ZB52" s="119"/>
      <c r="ZC52" s="119"/>
      <c r="ZD52" s="119"/>
      <c r="ZE52" s="119"/>
      <c r="ZF52" s="119"/>
      <c r="ZG52" s="119"/>
      <c r="ZH52" s="119"/>
      <c r="ZI52" s="119"/>
      <c r="ZJ52" s="119"/>
      <c r="ZK52" s="119"/>
      <c r="ZL52" s="119"/>
      <c r="ZM52" s="119"/>
      <c r="ZN52" s="119"/>
      <c r="ZO52" s="119"/>
      <c r="ZP52" s="119"/>
      <c r="ZQ52" s="119"/>
      <c r="ZR52" s="119"/>
      <c r="ZS52" s="119"/>
      <c r="ZT52" s="119"/>
      <c r="ZU52" s="119"/>
      <c r="ZV52" s="119"/>
      <c r="ZW52" s="119"/>
      <c r="ZX52" s="119"/>
      <c r="ZY52" s="119"/>
      <c r="ZZ52" s="119"/>
      <c r="AAA52" s="119"/>
      <c r="AAB52" s="119"/>
      <c r="AAC52" s="119"/>
      <c r="AAD52" s="119"/>
      <c r="AAE52" s="119"/>
      <c r="AAF52" s="119"/>
      <c r="AAG52" s="119"/>
      <c r="AAH52" s="119"/>
      <c r="AAI52" s="119"/>
      <c r="AAJ52" s="119"/>
      <c r="AAK52" s="119"/>
      <c r="AAL52" s="119"/>
      <c r="AAM52" s="119"/>
      <c r="AAN52" s="119"/>
      <c r="AAO52" s="119"/>
      <c r="AAP52" s="119"/>
      <c r="AAQ52" s="119"/>
      <c r="AAR52" s="119"/>
      <c r="AAS52" s="119"/>
      <c r="AAT52" s="119"/>
      <c r="AAU52" s="119"/>
      <c r="AAV52" s="119"/>
      <c r="AAW52" s="119"/>
      <c r="AAX52" s="119"/>
      <c r="AAY52" s="119"/>
      <c r="AAZ52" s="119"/>
      <c r="ABA52" s="119"/>
      <c r="ABB52" s="119"/>
      <c r="ABC52" s="119"/>
      <c r="ABD52" s="119"/>
      <c r="ABE52" s="119"/>
      <c r="ABF52" s="119"/>
      <c r="ABG52" s="119"/>
      <c r="ABH52" s="119"/>
      <c r="ABI52" s="119"/>
      <c r="ABJ52" s="119"/>
      <c r="ABK52" s="119"/>
      <c r="ABL52" s="119"/>
      <c r="ABM52" s="119"/>
      <c r="ABN52" s="119"/>
      <c r="ABO52" s="119"/>
      <c r="ABP52" s="119"/>
      <c r="ABQ52" s="119"/>
      <c r="ABR52" s="119"/>
      <c r="ABS52" s="119"/>
      <c r="ABT52" s="119"/>
      <c r="ABU52" s="119"/>
      <c r="ABV52" s="119"/>
      <c r="ABW52" s="119"/>
      <c r="ABX52" s="119"/>
      <c r="ABY52" s="119"/>
      <c r="ABZ52" s="119"/>
      <c r="ACA52" s="119"/>
      <c r="ACB52" s="119"/>
      <c r="ACC52" s="119"/>
      <c r="ACD52" s="119"/>
      <c r="ACE52" s="119"/>
      <c r="ACF52" s="119"/>
      <c r="ACG52" s="119"/>
      <c r="ACH52" s="119"/>
      <c r="ACI52" s="119"/>
      <c r="ACJ52" s="119"/>
      <c r="ACK52" s="119"/>
      <c r="ACL52" s="119"/>
      <c r="ACM52" s="119"/>
      <c r="ACN52" s="119"/>
      <c r="ACO52" s="119"/>
      <c r="ACP52" s="119"/>
      <c r="ACQ52" s="119"/>
    </row>
    <row r="53" spans="1:771" s="115" customFormat="1" ht="409.6">
      <c r="A53" s="83"/>
      <c r="B53" s="109" t="s">
        <v>281</v>
      </c>
      <c r="C53" s="110"/>
      <c r="D53" s="109" t="s">
        <v>71</v>
      </c>
      <c r="E53" s="110"/>
      <c r="F53" s="109" t="s">
        <v>282</v>
      </c>
      <c r="G53" s="110"/>
      <c r="H53" s="109" t="s">
        <v>283</v>
      </c>
      <c r="I53" s="110"/>
      <c r="J53" s="109" t="s">
        <v>263</v>
      </c>
      <c r="K53" s="110"/>
      <c r="L53" s="61" t="s">
        <v>74</v>
      </c>
      <c r="M53" s="110"/>
      <c r="N53" s="109" t="s">
        <v>103</v>
      </c>
      <c r="O53" s="110"/>
      <c r="P53" s="109" t="s">
        <v>284</v>
      </c>
      <c r="Q53" s="110"/>
      <c r="R53" s="111" t="s">
        <v>193</v>
      </c>
      <c r="S53" s="110"/>
      <c r="T53" s="112" t="s">
        <v>285</v>
      </c>
      <c r="U53" s="113"/>
      <c r="V53" s="110" t="s">
        <v>79</v>
      </c>
      <c r="W53" s="113"/>
      <c r="X53" s="110" t="s">
        <v>80</v>
      </c>
      <c r="Y53" s="116"/>
      <c r="Z53" s="110" t="s">
        <v>79</v>
      </c>
      <c r="AA53" s="113"/>
      <c r="AB53" s="109" t="s">
        <v>286</v>
      </c>
      <c r="AD53" s="109" t="s">
        <v>287</v>
      </c>
      <c r="AE53" s="83"/>
      <c r="AF53" s="117"/>
      <c r="AG53" s="83"/>
      <c r="AH53" s="118"/>
      <c r="AI53" s="83"/>
      <c r="AJ53" s="83"/>
      <c r="AK53" s="83"/>
      <c r="AL53" s="83"/>
      <c r="AM53" s="83"/>
      <c r="AN53" s="83"/>
      <c r="AO53" s="83"/>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19"/>
      <c r="IU53" s="119"/>
      <c r="IV53" s="119"/>
      <c r="IW53" s="119"/>
      <c r="IX53" s="119"/>
      <c r="IY53" s="119"/>
      <c r="IZ53" s="119"/>
      <c r="JA53" s="119"/>
      <c r="JB53" s="119"/>
      <c r="JC53" s="119"/>
      <c r="JD53" s="119"/>
      <c r="JE53" s="119"/>
      <c r="JF53" s="119"/>
      <c r="JG53" s="119"/>
      <c r="JH53" s="119"/>
      <c r="JI53" s="119"/>
      <c r="JJ53" s="119"/>
      <c r="JK53" s="119"/>
      <c r="JL53" s="119"/>
      <c r="JM53" s="119"/>
      <c r="JN53" s="119"/>
      <c r="JO53" s="119"/>
      <c r="JP53" s="119"/>
      <c r="JQ53" s="119"/>
      <c r="JR53" s="119"/>
      <c r="JS53" s="119"/>
      <c r="JT53" s="119"/>
      <c r="JU53" s="119"/>
      <c r="JV53" s="119"/>
      <c r="JW53" s="119"/>
      <c r="JX53" s="119"/>
      <c r="JY53" s="119"/>
      <c r="JZ53" s="119"/>
      <c r="KA53" s="119"/>
      <c r="KB53" s="119"/>
      <c r="KC53" s="119"/>
      <c r="KD53" s="119"/>
      <c r="KE53" s="119"/>
      <c r="KF53" s="119"/>
      <c r="KG53" s="119"/>
      <c r="KH53" s="119"/>
      <c r="KI53" s="119"/>
      <c r="KJ53" s="119"/>
      <c r="KK53" s="119"/>
      <c r="KL53" s="119"/>
      <c r="KM53" s="119"/>
      <c r="KN53" s="119"/>
      <c r="KO53" s="119"/>
      <c r="KP53" s="119"/>
      <c r="KQ53" s="119"/>
      <c r="KR53" s="119"/>
      <c r="KS53" s="119"/>
      <c r="KT53" s="119"/>
      <c r="KU53" s="119"/>
      <c r="KV53" s="119"/>
      <c r="KW53" s="119"/>
      <c r="KX53" s="119"/>
      <c r="KY53" s="119"/>
      <c r="KZ53" s="119"/>
      <c r="LA53" s="119"/>
      <c r="LB53" s="119"/>
      <c r="LC53" s="119"/>
      <c r="LD53" s="119"/>
      <c r="LE53" s="119"/>
      <c r="LF53" s="119"/>
      <c r="LG53" s="119"/>
      <c r="LH53" s="119"/>
      <c r="LI53" s="119"/>
      <c r="LJ53" s="119"/>
      <c r="LK53" s="119"/>
      <c r="LL53" s="119"/>
      <c r="LM53" s="119"/>
      <c r="LN53" s="119"/>
      <c r="LO53" s="119"/>
      <c r="LP53" s="119"/>
      <c r="LQ53" s="119"/>
      <c r="LR53" s="119"/>
      <c r="LS53" s="119"/>
      <c r="LT53" s="119"/>
      <c r="LU53" s="119"/>
      <c r="LV53" s="119"/>
      <c r="LW53" s="119"/>
      <c r="LX53" s="119"/>
      <c r="LY53" s="119"/>
      <c r="LZ53" s="119"/>
      <c r="MA53" s="119"/>
      <c r="MB53" s="119"/>
      <c r="MC53" s="119"/>
      <c r="MD53" s="119"/>
      <c r="ME53" s="119"/>
      <c r="MF53" s="119"/>
      <c r="MG53" s="119"/>
      <c r="MH53" s="119"/>
      <c r="MI53" s="119"/>
      <c r="MJ53" s="119"/>
      <c r="MK53" s="119"/>
      <c r="ML53" s="119"/>
      <c r="MM53" s="119"/>
      <c r="MN53" s="119"/>
      <c r="MO53" s="119"/>
      <c r="MP53" s="119"/>
      <c r="MQ53" s="119"/>
      <c r="MR53" s="119"/>
      <c r="MS53" s="119"/>
      <c r="MT53" s="119"/>
      <c r="MU53" s="119"/>
      <c r="MV53" s="119"/>
      <c r="MW53" s="119"/>
      <c r="MX53" s="119"/>
      <c r="MY53" s="119"/>
      <c r="MZ53" s="119"/>
      <c r="NA53" s="119"/>
      <c r="NB53" s="119"/>
      <c r="NC53" s="119"/>
      <c r="ND53" s="119"/>
      <c r="NE53" s="119"/>
      <c r="NF53" s="119"/>
      <c r="NG53" s="119"/>
      <c r="NH53" s="119"/>
      <c r="NI53" s="119"/>
      <c r="NJ53" s="119"/>
      <c r="NK53" s="119"/>
      <c r="NL53" s="119"/>
      <c r="NM53" s="119"/>
      <c r="NN53" s="119"/>
      <c r="NO53" s="119"/>
      <c r="NP53" s="119"/>
      <c r="NQ53" s="119"/>
      <c r="NR53" s="119"/>
      <c r="NS53" s="119"/>
      <c r="NT53" s="119"/>
      <c r="NU53" s="119"/>
      <c r="NV53" s="119"/>
      <c r="NW53" s="119"/>
      <c r="NX53" s="119"/>
      <c r="NY53" s="119"/>
      <c r="NZ53" s="119"/>
      <c r="OA53" s="119"/>
      <c r="OB53" s="119"/>
      <c r="OC53" s="119"/>
      <c r="OD53" s="119"/>
      <c r="OE53" s="119"/>
      <c r="OF53" s="119"/>
      <c r="OG53" s="119"/>
      <c r="OH53" s="119"/>
      <c r="OI53" s="119"/>
      <c r="OJ53" s="119"/>
      <c r="OK53" s="119"/>
      <c r="OL53" s="119"/>
      <c r="OM53" s="119"/>
      <c r="ON53" s="119"/>
      <c r="OO53" s="119"/>
      <c r="OP53" s="119"/>
      <c r="OQ53" s="119"/>
      <c r="OR53" s="119"/>
      <c r="OS53" s="119"/>
      <c r="OT53" s="119"/>
      <c r="OU53" s="119"/>
      <c r="OV53" s="119"/>
      <c r="OW53" s="119"/>
      <c r="OX53" s="119"/>
      <c r="OY53" s="119"/>
      <c r="OZ53" s="119"/>
      <c r="PA53" s="119"/>
      <c r="PB53" s="119"/>
      <c r="PC53" s="119"/>
      <c r="PD53" s="119"/>
      <c r="PE53" s="119"/>
      <c r="PF53" s="119"/>
      <c r="PG53" s="119"/>
      <c r="PH53" s="119"/>
      <c r="PI53" s="119"/>
      <c r="PJ53" s="119"/>
      <c r="PK53" s="119"/>
      <c r="PL53" s="119"/>
      <c r="PM53" s="119"/>
      <c r="PN53" s="119"/>
      <c r="PO53" s="119"/>
      <c r="PP53" s="119"/>
      <c r="PQ53" s="119"/>
      <c r="PR53" s="119"/>
      <c r="PS53" s="119"/>
      <c r="PT53" s="119"/>
      <c r="PU53" s="119"/>
      <c r="PV53" s="119"/>
      <c r="PW53" s="119"/>
      <c r="PX53" s="119"/>
      <c r="PY53" s="119"/>
      <c r="PZ53" s="119"/>
      <c r="QA53" s="119"/>
      <c r="QB53" s="119"/>
      <c r="QC53" s="119"/>
      <c r="QD53" s="119"/>
      <c r="QE53" s="119"/>
      <c r="QF53" s="119"/>
      <c r="QG53" s="119"/>
      <c r="QH53" s="119"/>
      <c r="QI53" s="119"/>
      <c r="QJ53" s="119"/>
      <c r="QK53" s="119"/>
      <c r="QL53" s="119"/>
      <c r="QM53" s="119"/>
      <c r="QN53" s="119"/>
      <c r="QO53" s="119"/>
      <c r="QP53" s="119"/>
      <c r="QQ53" s="119"/>
      <c r="QR53" s="119"/>
      <c r="QS53" s="119"/>
      <c r="QT53" s="119"/>
      <c r="QU53" s="119"/>
      <c r="QV53" s="119"/>
      <c r="QW53" s="119"/>
      <c r="QX53" s="119"/>
      <c r="QY53" s="119"/>
      <c r="QZ53" s="119"/>
      <c r="RA53" s="119"/>
      <c r="RB53" s="119"/>
      <c r="RC53" s="119"/>
      <c r="RD53" s="119"/>
      <c r="RE53" s="119"/>
      <c r="RF53" s="119"/>
      <c r="RG53" s="119"/>
      <c r="RH53" s="119"/>
      <c r="RI53" s="119"/>
      <c r="RJ53" s="119"/>
      <c r="RK53" s="119"/>
      <c r="RL53" s="119"/>
      <c r="RM53" s="119"/>
      <c r="RN53" s="119"/>
      <c r="RO53" s="119"/>
      <c r="RP53" s="119"/>
      <c r="RQ53" s="119"/>
      <c r="RR53" s="119"/>
      <c r="RS53" s="119"/>
      <c r="RT53" s="119"/>
      <c r="RU53" s="119"/>
      <c r="RV53" s="119"/>
      <c r="RW53" s="119"/>
      <c r="RX53" s="119"/>
      <c r="RY53" s="119"/>
      <c r="RZ53" s="119"/>
      <c r="SA53" s="119"/>
      <c r="SB53" s="119"/>
      <c r="SC53" s="119"/>
      <c r="SD53" s="119"/>
      <c r="SE53" s="119"/>
      <c r="SF53" s="119"/>
      <c r="SG53" s="119"/>
      <c r="SH53" s="119"/>
      <c r="SI53" s="119"/>
      <c r="SJ53" s="119"/>
      <c r="SK53" s="119"/>
      <c r="SL53" s="119"/>
      <c r="SM53" s="119"/>
      <c r="SN53" s="119"/>
      <c r="SO53" s="119"/>
      <c r="SP53" s="119"/>
      <c r="SQ53" s="119"/>
      <c r="SR53" s="119"/>
      <c r="SS53" s="119"/>
      <c r="ST53" s="119"/>
      <c r="SU53" s="119"/>
      <c r="SV53" s="119"/>
      <c r="SW53" s="119"/>
      <c r="SX53" s="119"/>
      <c r="SY53" s="119"/>
      <c r="SZ53" s="119"/>
      <c r="TA53" s="119"/>
      <c r="TB53" s="119"/>
      <c r="TC53" s="119"/>
      <c r="TD53" s="119"/>
      <c r="TE53" s="119"/>
      <c r="TF53" s="119"/>
      <c r="TG53" s="119"/>
      <c r="TH53" s="119"/>
      <c r="TI53" s="119"/>
      <c r="TJ53" s="119"/>
      <c r="TK53" s="119"/>
      <c r="TL53" s="119"/>
      <c r="TM53" s="119"/>
      <c r="TN53" s="119"/>
      <c r="TO53" s="119"/>
      <c r="TP53" s="119"/>
      <c r="TQ53" s="119"/>
      <c r="TR53" s="119"/>
      <c r="TS53" s="119"/>
      <c r="TT53" s="119"/>
      <c r="TU53" s="119"/>
      <c r="TV53" s="119"/>
      <c r="TW53" s="119"/>
      <c r="TX53" s="119"/>
      <c r="TY53" s="119"/>
      <c r="TZ53" s="119"/>
      <c r="UA53" s="119"/>
      <c r="UB53" s="119"/>
      <c r="UC53" s="119"/>
      <c r="UD53" s="119"/>
      <c r="UE53" s="119"/>
      <c r="UF53" s="119"/>
      <c r="UG53" s="119"/>
      <c r="UH53" s="119"/>
      <c r="UI53" s="119"/>
      <c r="UJ53" s="119"/>
      <c r="UK53" s="119"/>
      <c r="UL53" s="119"/>
      <c r="UM53" s="119"/>
      <c r="UN53" s="119"/>
      <c r="UO53" s="119"/>
      <c r="UP53" s="119"/>
      <c r="UQ53" s="119"/>
      <c r="UR53" s="119"/>
      <c r="US53" s="119"/>
      <c r="UT53" s="119"/>
      <c r="UU53" s="119"/>
      <c r="UV53" s="119"/>
      <c r="UW53" s="119"/>
      <c r="UX53" s="119"/>
      <c r="UY53" s="119"/>
      <c r="UZ53" s="119"/>
      <c r="VA53" s="119"/>
      <c r="VB53" s="119"/>
      <c r="VC53" s="119"/>
      <c r="VD53" s="119"/>
      <c r="VE53" s="119"/>
      <c r="VF53" s="119"/>
      <c r="VG53" s="119"/>
      <c r="VH53" s="119"/>
      <c r="VI53" s="119"/>
      <c r="VJ53" s="119"/>
      <c r="VK53" s="119"/>
      <c r="VL53" s="119"/>
      <c r="VM53" s="119"/>
      <c r="VN53" s="119"/>
      <c r="VO53" s="119"/>
      <c r="VP53" s="119"/>
      <c r="VQ53" s="119"/>
      <c r="VR53" s="119"/>
      <c r="VS53" s="119"/>
      <c r="VT53" s="119"/>
      <c r="VU53" s="119"/>
      <c r="VV53" s="119"/>
      <c r="VW53" s="119"/>
      <c r="VX53" s="119"/>
      <c r="VY53" s="119"/>
      <c r="VZ53" s="119"/>
      <c r="WA53" s="119"/>
      <c r="WB53" s="119"/>
      <c r="WC53" s="119"/>
      <c r="WD53" s="119"/>
      <c r="WE53" s="119"/>
      <c r="WF53" s="119"/>
      <c r="WG53" s="119"/>
      <c r="WH53" s="119"/>
      <c r="WI53" s="119"/>
      <c r="WJ53" s="119"/>
      <c r="WK53" s="119"/>
      <c r="WL53" s="119"/>
      <c r="WM53" s="119"/>
      <c r="WN53" s="119"/>
      <c r="WO53" s="119"/>
      <c r="WP53" s="119"/>
      <c r="WQ53" s="119"/>
      <c r="WR53" s="119"/>
      <c r="WS53" s="119"/>
      <c r="WT53" s="119"/>
      <c r="WU53" s="119"/>
      <c r="WV53" s="119"/>
      <c r="WW53" s="119"/>
      <c r="WX53" s="119"/>
      <c r="WY53" s="119"/>
      <c r="WZ53" s="119"/>
      <c r="XA53" s="119"/>
      <c r="XB53" s="119"/>
      <c r="XC53" s="119"/>
      <c r="XD53" s="119"/>
      <c r="XE53" s="119"/>
      <c r="XF53" s="119"/>
      <c r="XG53" s="119"/>
      <c r="XH53" s="119"/>
      <c r="XI53" s="119"/>
      <c r="XJ53" s="119"/>
      <c r="XK53" s="119"/>
      <c r="XL53" s="119"/>
      <c r="XM53" s="119"/>
      <c r="XN53" s="119"/>
      <c r="XO53" s="119"/>
      <c r="XP53" s="119"/>
      <c r="XQ53" s="119"/>
      <c r="XR53" s="119"/>
      <c r="XS53" s="119"/>
      <c r="XT53" s="119"/>
      <c r="XU53" s="119"/>
      <c r="XV53" s="119"/>
      <c r="XW53" s="119"/>
      <c r="XX53" s="119"/>
      <c r="XY53" s="119"/>
      <c r="XZ53" s="119"/>
      <c r="YA53" s="119"/>
      <c r="YB53" s="119"/>
      <c r="YC53" s="119"/>
      <c r="YD53" s="119"/>
      <c r="YE53" s="119"/>
      <c r="YF53" s="119"/>
      <c r="YG53" s="119"/>
      <c r="YH53" s="119"/>
      <c r="YI53" s="119"/>
      <c r="YJ53" s="119"/>
      <c r="YK53" s="119"/>
      <c r="YL53" s="119"/>
      <c r="YM53" s="119"/>
      <c r="YN53" s="119"/>
      <c r="YO53" s="119"/>
      <c r="YP53" s="119"/>
      <c r="YQ53" s="119"/>
      <c r="YR53" s="119"/>
      <c r="YS53" s="119"/>
      <c r="YT53" s="119"/>
      <c r="YU53" s="119"/>
      <c r="YV53" s="119"/>
      <c r="YW53" s="119"/>
      <c r="YX53" s="119"/>
      <c r="YY53" s="119"/>
      <c r="YZ53" s="119"/>
      <c r="ZA53" s="119"/>
      <c r="ZB53" s="119"/>
      <c r="ZC53" s="119"/>
      <c r="ZD53" s="119"/>
      <c r="ZE53" s="119"/>
      <c r="ZF53" s="119"/>
      <c r="ZG53" s="119"/>
      <c r="ZH53" s="119"/>
      <c r="ZI53" s="119"/>
      <c r="ZJ53" s="119"/>
      <c r="ZK53" s="119"/>
      <c r="ZL53" s="119"/>
      <c r="ZM53" s="119"/>
      <c r="ZN53" s="119"/>
      <c r="ZO53" s="119"/>
      <c r="ZP53" s="119"/>
      <c r="ZQ53" s="119"/>
      <c r="ZR53" s="119"/>
      <c r="ZS53" s="119"/>
      <c r="ZT53" s="119"/>
      <c r="ZU53" s="119"/>
      <c r="ZV53" s="119"/>
      <c r="ZW53" s="119"/>
      <c r="ZX53" s="119"/>
      <c r="ZY53" s="119"/>
      <c r="ZZ53" s="119"/>
      <c r="AAA53" s="119"/>
      <c r="AAB53" s="119"/>
      <c r="AAC53" s="119"/>
      <c r="AAD53" s="119"/>
      <c r="AAE53" s="119"/>
      <c r="AAF53" s="119"/>
      <c r="AAG53" s="119"/>
      <c r="AAH53" s="119"/>
      <c r="AAI53" s="119"/>
      <c r="AAJ53" s="119"/>
      <c r="AAK53" s="119"/>
      <c r="AAL53" s="119"/>
      <c r="AAM53" s="119"/>
      <c r="AAN53" s="119"/>
      <c r="AAO53" s="119"/>
      <c r="AAP53" s="119"/>
      <c r="AAQ53" s="119"/>
      <c r="AAR53" s="119"/>
      <c r="AAS53" s="119"/>
      <c r="AAT53" s="119"/>
      <c r="AAU53" s="119"/>
      <c r="AAV53" s="119"/>
      <c r="AAW53" s="119"/>
      <c r="AAX53" s="119"/>
      <c r="AAY53" s="119"/>
      <c r="AAZ53" s="119"/>
      <c r="ABA53" s="119"/>
      <c r="ABB53" s="119"/>
      <c r="ABC53" s="119"/>
      <c r="ABD53" s="119"/>
      <c r="ABE53" s="119"/>
      <c r="ABF53" s="119"/>
      <c r="ABG53" s="119"/>
      <c r="ABH53" s="119"/>
      <c r="ABI53" s="119"/>
      <c r="ABJ53" s="119"/>
      <c r="ABK53" s="119"/>
      <c r="ABL53" s="119"/>
      <c r="ABM53" s="119"/>
      <c r="ABN53" s="119"/>
      <c r="ABO53" s="119"/>
      <c r="ABP53" s="119"/>
      <c r="ABQ53" s="119"/>
      <c r="ABR53" s="119"/>
      <c r="ABS53" s="119"/>
      <c r="ABT53" s="119"/>
      <c r="ABU53" s="119"/>
      <c r="ABV53" s="119"/>
      <c r="ABW53" s="119"/>
      <c r="ABX53" s="119"/>
      <c r="ABY53" s="119"/>
      <c r="ABZ53" s="119"/>
      <c r="ACA53" s="119"/>
      <c r="ACB53" s="119"/>
      <c r="ACC53" s="119"/>
      <c r="ACD53" s="119"/>
      <c r="ACE53" s="119"/>
      <c r="ACF53" s="119"/>
      <c r="ACG53" s="119"/>
      <c r="ACH53" s="119"/>
      <c r="ACI53" s="119"/>
      <c r="ACJ53" s="119"/>
      <c r="ACK53" s="119"/>
      <c r="ACL53" s="119"/>
      <c r="ACM53" s="119"/>
      <c r="ACN53" s="119"/>
      <c r="ACO53" s="119"/>
      <c r="ACP53" s="119"/>
      <c r="ACQ53" s="119"/>
    </row>
    <row r="54" spans="1:771" ht="188.1" customHeight="1">
      <c r="B54" s="61" t="s">
        <v>288</v>
      </c>
      <c r="C54" s="62"/>
      <c r="D54" s="61" t="s">
        <v>289</v>
      </c>
      <c r="E54" s="62"/>
      <c r="F54" s="63" t="s">
        <v>290</v>
      </c>
      <c r="G54" s="62"/>
      <c r="H54" s="61" t="s">
        <v>291</v>
      </c>
      <c r="I54" s="62"/>
      <c r="J54" s="61" t="s">
        <v>263</v>
      </c>
      <c r="K54" s="62"/>
      <c r="L54" s="61" t="s">
        <v>74</v>
      </c>
      <c r="M54" s="62"/>
      <c r="N54" s="61" t="s">
        <v>125</v>
      </c>
      <c r="O54" s="62"/>
      <c r="P54" s="61" t="s">
        <v>292</v>
      </c>
      <c r="Q54" s="62"/>
      <c r="R54" s="61" t="s">
        <v>77</v>
      </c>
      <c r="S54" s="62"/>
      <c r="T54" s="65" t="s">
        <v>293</v>
      </c>
      <c r="U54" s="66"/>
      <c r="V54" s="67" t="s">
        <v>79</v>
      </c>
      <c r="W54" s="66"/>
      <c r="X54" s="67" t="s">
        <v>80</v>
      </c>
      <c r="Y54" s="69"/>
      <c r="Z54" s="67" t="s">
        <v>79</v>
      </c>
      <c r="AA54" s="66"/>
      <c r="AB54" s="63" t="s">
        <v>294</v>
      </c>
      <c r="AC54" s="66"/>
      <c r="AD54" s="63" t="s">
        <v>295</v>
      </c>
    </row>
    <row r="55" spans="1:771" s="62" customFormat="1" ht="84.95">
      <c r="A55" s="57"/>
      <c r="B55" s="61" t="s">
        <v>296</v>
      </c>
      <c r="D55" s="61" t="s">
        <v>297</v>
      </c>
      <c r="F55" s="63" t="s">
        <v>254</v>
      </c>
      <c r="H55" s="61" t="s">
        <v>298</v>
      </c>
      <c r="J55" s="61" t="s">
        <v>299</v>
      </c>
      <c r="L55" s="61" t="s">
        <v>74</v>
      </c>
      <c r="N55" s="61" t="s">
        <v>103</v>
      </c>
      <c r="P55" s="61" t="s">
        <v>300</v>
      </c>
      <c r="R55" s="64" t="s">
        <v>301</v>
      </c>
      <c r="T55" s="65" t="s">
        <v>302</v>
      </c>
      <c r="U55" s="66"/>
      <c r="V55" s="67" t="s">
        <v>80</v>
      </c>
      <c r="W55" s="68"/>
      <c r="X55" s="67" t="s">
        <v>80</v>
      </c>
      <c r="Y55" s="68"/>
      <c r="Z55" s="67" t="s">
        <v>80</v>
      </c>
      <c r="AA55" s="68"/>
      <c r="AB55" s="67" t="s">
        <v>80</v>
      </c>
      <c r="AD55" s="63" t="s">
        <v>303</v>
      </c>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row>
    <row r="56" spans="1:771" s="62" customFormat="1" ht="204">
      <c r="A56" s="57"/>
      <c r="B56" s="61" t="s">
        <v>304</v>
      </c>
      <c r="D56" s="61" t="s">
        <v>305</v>
      </c>
      <c r="F56" s="63" t="s">
        <v>254</v>
      </c>
      <c r="H56" s="61" t="s">
        <v>298</v>
      </c>
      <c r="J56" s="61" t="s">
        <v>306</v>
      </c>
      <c r="L56" s="61" t="s">
        <v>74</v>
      </c>
      <c r="N56" s="61" t="s">
        <v>178</v>
      </c>
      <c r="P56" s="61" t="s">
        <v>307</v>
      </c>
      <c r="R56" s="64" t="s">
        <v>308</v>
      </c>
      <c r="T56" s="70" t="s">
        <v>265</v>
      </c>
      <c r="U56" s="66"/>
      <c r="V56" s="67" t="s">
        <v>79</v>
      </c>
      <c r="W56" s="68"/>
      <c r="X56" s="67" t="s">
        <v>80</v>
      </c>
      <c r="Y56" s="68"/>
      <c r="Z56" s="67" t="s">
        <v>80</v>
      </c>
      <c r="AA56" s="68"/>
      <c r="AB56" s="63" t="s">
        <v>80</v>
      </c>
      <c r="AD56" s="63" t="s">
        <v>309</v>
      </c>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c r="MP56" s="20"/>
      <c r="MQ56" s="20"/>
      <c r="MR56" s="20"/>
      <c r="MS56" s="20"/>
      <c r="MT56" s="20"/>
      <c r="MU56" s="20"/>
      <c r="MV56" s="20"/>
      <c r="MW56" s="20"/>
      <c r="MX56" s="20"/>
      <c r="MY56" s="20"/>
      <c r="MZ56" s="20"/>
      <c r="NA56" s="20"/>
      <c r="NB56" s="20"/>
      <c r="NC56" s="20"/>
      <c r="ND56" s="20"/>
      <c r="NE56" s="20"/>
      <c r="NF56" s="20"/>
      <c r="NG56" s="20"/>
      <c r="NH56" s="20"/>
      <c r="NI56" s="20"/>
      <c r="NJ56" s="20"/>
      <c r="NK56" s="20"/>
      <c r="NL56" s="20"/>
      <c r="NM56" s="20"/>
      <c r="NN56" s="20"/>
      <c r="NO56" s="20"/>
      <c r="NP56" s="20"/>
      <c r="NQ56" s="20"/>
      <c r="NR56" s="20"/>
      <c r="NS56" s="20"/>
      <c r="NT56" s="20"/>
      <c r="NU56" s="20"/>
      <c r="NV56" s="20"/>
      <c r="NW56" s="20"/>
      <c r="NX56" s="20"/>
      <c r="NY56" s="20"/>
      <c r="NZ56" s="20"/>
      <c r="OA56" s="20"/>
      <c r="OB56" s="20"/>
      <c r="OC56" s="20"/>
      <c r="OD56" s="20"/>
      <c r="OE56" s="20"/>
      <c r="OF56" s="20"/>
      <c r="OG56" s="20"/>
      <c r="OH56" s="20"/>
      <c r="OI56" s="20"/>
      <c r="OJ56" s="20"/>
      <c r="OK56" s="20"/>
      <c r="OL56" s="20"/>
      <c r="OM56" s="20"/>
      <c r="ON56" s="20"/>
      <c r="OO56" s="20"/>
      <c r="OP56" s="20"/>
      <c r="OQ56" s="20"/>
      <c r="OR56" s="20"/>
      <c r="OS56" s="20"/>
      <c r="OT56" s="20"/>
      <c r="OU56" s="20"/>
      <c r="OV56" s="20"/>
      <c r="OW56" s="20"/>
      <c r="OX56" s="20"/>
      <c r="OY56" s="20"/>
      <c r="OZ56" s="20"/>
      <c r="PA56" s="20"/>
      <c r="PB56" s="20"/>
      <c r="PC56" s="20"/>
      <c r="PD56" s="20"/>
      <c r="PE56" s="20"/>
      <c r="PF56" s="20"/>
      <c r="PG56" s="20"/>
      <c r="PH56" s="20"/>
      <c r="PI56" s="20"/>
      <c r="PJ56" s="20"/>
      <c r="PK56" s="20"/>
      <c r="PL56" s="20"/>
      <c r="PM56" s="20"/>
      <c r="PN56" s="20"/>
      <c r="PO56" s="20"/>
      <c r="PP56" s="20"/>
      <c r="PQ56" s="20"/>
      <c r="PR56" s="20"/>
      <c r="PS56" s="20"/>
      <c r="PT56" s="20"/>
      <c r="PU56" s="20"/>
      <c r="PV56" s="20"/>
      <c r="PW56" s="20"/>
      <c r="PX56" s="20"/>
      <c r="PY56" s="20"/>
      <c r="PZ56" s="20"/>
      <c r="QA56" s="20"/>
      <c r="QB56" s="20"/>
      <c r="QC56" s="20"/>
      <c r="QD56" s="20"/>
      <c r="QE56" s="20"/>
      <c r="QF56" s="20"/>
      <c r="QG56" s="20"/>
      <c r="QH56" s="20"/>
      <c r="QI56" s="20"/>
      <c r="QJ56" s="20"/>
      <c r="QK56" s="20"/>
      <c r="QL56" s="20"/>
      <c r="QM56" s="20"/>
      <c r="QN56" s="20"/>
      <c r="QO56" s="20"/>
      <c r="QP56" s="20"/>
      <c r="QQ56" s="20"/>
      <c r="QR56" s="20"/>
      <c r="QS56" s="20"/>
      <c r="QT56" s="20"/>
      <c r="QU56" s="20"/>
      <c r="QV56" s="20"/>
      <c r="QW56" s="20"/>
      <c r="QX56" s="20"/>
      <c r="QY56" s="20"/>
      <c r="QZ56" s="20"/>
      <c r="RA56" s="20"/>
      <c r="RB56" s="20"/>
      <c r="RC56" s="20"/>
      <c r="RD56" s="20"/>
      <c r="RE56" s="20"/>
      <c r="RF56" s="20"/>
      <c r="RG56" s="20"/>
      <c r="RH56" s="20"/>
      <c r="RI56" s="20"/>
      <c r="RJ56" s="20"/>
      <c r="RK56" s="20"/>
      <c r="RL56" s="20"/>
      <c r="RM56" s="20"/>
      <c r="RN56" s="20"/>
      <c r="RO56" s="20"/>
      <c r="RP56" s="20"/>
      <c r="RQ56" s="20"/>
      <c r="RR56" s="20"/>
      <c r="RS56" s="20"/>
      <c r="RT56" s="20"/>
      <c r="RU56" s="20"/>
      <c r="RV56" s="20"/>
      <c r="RW56" s="20"/>
      <c r="RX56" s="20"/>
      <c r="RY56" s="20"/>
      <c r="RZ56" s="20"/>
      <c r="SA56" s="20"/>
      <c r="SB56" s="20"/>
      <c r="SC56" s="20"/>
      <c r="SD56" s="20"/>
      <c r="SE56" s="20"/>
      <c r="SF56" s="20"/>
      <c r="SG56" s="20"/>
      <c r="SH56" s="20"/>
      <c r="SI56" s="20"/>
      <c r="SJ56" s="20"/>
      <c r="SK56" s="20"/>
      <c r="SL56" s="20"/>
      <c r="SM56" s="20"/>
      <c r="SN56" s="20"/>
      <c r="SO56" s="20"/>
      <c r="SP56" s="20"/>
      <c r="SQ56" s="20"/>
      <c r="SR56" s="20"/>
      <c r="SS56" s="20"/>
      <c r="ST56" s="20"/>
      <c r="SU56" s="20"/>
      <c r="SV56" s="20"/>
      <c r="SW56" s="20"/>
      <c r="SX56" s="20"/>
      <c r="SY56" s="20"/>
      <c r="SZ56" s="20"/>
      <c r="TA56" s="20"/>
      <c r="TB56" s="20"/>
      <c r="TC56" s="20"/>
      <c r="TD56" s="20"/>
      <c r="TE56" s="20"/>
      <c r="TF56" s="20"/>
      <c r="TG56" s="20"/>
      <c r="TH56" s="20"/>
      <c r="TI56" s="20"/>
      <c r="TJ56" s="20"/>
      <c r="TK56" s="20"/>
      <c r="TL56" s="20"/>
      <c r="TM56" s="20"/>
      <c r="TN56" s="20"/>
      <c r="TO56" s="20"/>
      <c r="TP56" s="20"/>
      <c r="TQ56" s="20"/>
      <c r="TR56" s="20"/>
      <c r="TS56" s="20"/>
      <c r="TT56" s="20"/>
      <c r="TU56" s="20"/>
      <c r="TV56" s="20"/>
      <c r="TW56" s="20"/>
      <c r="TX56" s="20"/>
      <c r="TY56" s="20"/>
      <c r="TZ56" s="20"/>
      <c r="UA56" s="20"/>
      <c r="UB56" s="20"/>
      <c r="UC56" s="20"/>
      <c r="UD56" s="20"/>
      <c r="UE56" s="20"/>
      <c r="UF56" s="20"/>
      <c r="UG56" s="20"/>
      <c r="UH56" s="20"/>
      <c r="UI56" s="20"/>
      <c r="UJ56" s="20"/>
      <c r="UK56" s="20"/>
      <c r="UL56" s="20"/>
      <c r="UM56" s="20"/>
      <c r="UN56" s="20"/>
      <c r="UO56" s="20"/>
      <c r="UP56" s="20"/>
      <c r="UQ56" s="20"/>
      <c r="UR56" s="20"/>
      <c r="US56" s="20"/>
      <c r="UT56" s="20"/>
      <c r="UU56" s="20"/>
      <c r="UV56" s="20"/>
      <c r="UW56" s="20"/>
      <c r="UX56" s="20"/>
      <c r="UY56" s="20"/>
      <c r="UZ56" s="20"/>
      <c r="VA56" s="20"/>
      <c r="VB56" s="20"/>
      <c r="VC56" s="20"/>
      <c r="VD56" s="20"/>
      <c r="VE56" s="20"/>
      <c r="VF56" s="20"/>
      <c r="VG56" s="20"/>
      <c r="VH56" s="20"/>
      <c r="VI56" s="20"/>
      <c r="VJ56" s="20"/>
      <c r="VK56" s="20"/>
      <c r="VL56" s="20"/>
      <c r="VM56" s="20"/>
      <c r="VN56" s="20"/>
      <c r="VO56" s="20"/>
      <c r="VP56" s="20"/>
      <c r="VQ56" s="20"/>
      <c r="VR56" s="20"/>
      <c r="VS56" s="20"/>
      <c r="VT56" s="20"/>
      <c r="VU56" s="20"/>
      <c r="VV56" s="20"/>
      <c r="VW56" s="20"/>
      <c r="VX56" s="20"/>
      <c r="VY56" s="20"/>
      <c r="VZ56" s="20"/>
      <c r="WA56" s="20"/>
      <c r="WB56" s="20"/>
      <c r="WC56" s="20"/>
      <c r="WD56" s="20"/>
      <c r="WE56" s="20"/>
      <c r="WF56" s="20"/>
      <c r="WG56" s="20"/>
      <c r="WH56" s="20"/>
      <c r="WI56" s="20"/>
      <c r="WJ56" s="20"/>
      <c r="WK56" s="20"/>
      <c r="WL56" s="20"/>
      <c r="WM56" s="20"/>
      <c r="WN56" s="20"/>
      <c r="WO56" s="20"/>
      <c r="WP56" s="20"/>
      <c r="WQ56" s="20"/>
      <c r="WR56" s="20"/>
      <c r="WS56" s="20"/>
      <c r="WT56" s="20"/>
      <c r="WU56" s="20"/>
      <c r="WV56" s="20"/>
      <c r="WW56" s="20"/>
      <c r="WX56" s="20"/>
      <c r="WY56" s="20"/>
      <c r="WZ56" s="20"/>
      <c r="XA56" s="20"/>
      <c r="XB56" s="20"/>
      <c r="XC56" s="20"/>
      <c r="XD56" s="20"/>
      <c r="XE56" s="20"/>
      <c r="XF56" s="20"/>
      <c r="XG56" s="20"/>
      <c r="XH56" s="20"/>
      <c r="XI56" s="20"/>
      <c r="XJ56" s="20"/>
      <c r="XK56" s="20"/>
      <c r="XL56" s="20"/>
      <c r="XM56" s="20"/>
      <c r="XN56" s="20"/>
      <c r="XO56" s="20"/>
      <c r="XP56" s="20"/>
      <c r="XQ56" s="20"/>
      <c r="XR56" s="20"/>
      <c r="XS56" s="20"/>
      <c r="XT56" s="20"/>
      <c r="XU56" s="20"/>
      <c r="XV56" s="20"/>
      <c r="XW56" s="20"/>
      <c r="XX56" s="20"/>
      <c r="XY56" s="20"/>
      <c r="XZ56" s="20"/>
      <c r="YA56" s="20"/>
      <c r="YB56" s="20"/>
      <c r="YC56" s="20"/>
      <c r="YD56" s="20"/>
      <c r="YE56" s="20"/>
      <c r="YF56" s="20"/>
      <c r="YG56" s="20"/>
      <c r="YH56" s="20"/>
      <c r="YI56" s="20"/>
      <c r="YJ56" s="20"/>
      <c r="YK56" s="20"/>
      <c r="YL56" s="20"/>
      <c r="YM56" s="20"/>
      <c r="YN56" s="20"/>
      <c r="YO56" s="20"/>
      <c r="YP56" s="20"/>
      <c r="YQ56" s="20"/>
      <c r="YR56" s="20"/>
      <c r="YS56" s="20"/>
      <c r="YT56" s="20"/>
      <c r="YU56" s="20"/>
      <c r="YV56" s="20"/>
      <c r="YW56" s="20"/>
      <c r="YX56" s="20"/>
      <c r="YY56" s="20"/>
      <c r="YZ56" s="20"/>
      <c r="ZA56" s="20"/>
      <c r="ZB56" s="20"/>
      <c r="ZC56" s="20"/>
      <c r="ZD56" s="20"/>
      <c r="ZE56" s="20"/>
      <c r="ZF56" s="20"/>
      <c r="ZG56" s="20"/>
      <c r="ZH56" s="20"/>
      <c r="ZI56" s="20"/>
      <c r="ZJ56" s="20"/>
      <c r="ZK56" s="20"/>
      <c r="ZL56" s="20"/>
      <c r="ZM56" s="20"/>
      <c r="ZN56" s="20"/>
      <c r="ZO56" s="20"/>
      <c r="ZP56" s="20"/>
      <c r="ZQ56" s="20"/>
      <c r="ZR56" s="20"/>
      <c r="ZS56" s="20"/>
      <c r="ZT56" s="20"/>
      <c r="ZU56" s="20"/>
      <c r="ZV56" s="20"/>
      <c r="ZW56" s="20"/>
      <c r="ZX56" s="20"/>
      <c r="ZY56" s="20"/>
      <c r="ZZ56" s="20"/>
      <c r="AAA56" s="20"/>
      <c r="AAB56" s="20"/>
      <c r="AAC56" s="20"/>
      <c r="AAD56" s="20"/>
      <c r="AAE56" s="20"/>
      <c r="AAF56" s="20"/>
      <c r="AAG56" s="20"/>
      <c r="AAH56" s="20"/>
      <c r="AAI56" s="20"/>
      <c r="AAJ56" s="20"/>
      <c r="AAK56" s="20"/>
      <c r="AAL56" s="20"/>
      <c r="AAM56" s="20"/>
      <c r="AAN56" s="20"/>
      <c r="AAO56" s="20"/>
      <c r="AAP56" s="20"/>
      <c r="AAQ56" s="20"/>
      <c r="AAR56" s="20"/>
      <c r="AAS56" s="20"/>
      <c r="AAT56" s="20"/>
      <c r="AAU56" s="20"/>
      <c r="AAV56" s="20"/>
      <c r="AAW56" s="20"/>
      <c r="AAX56" s="20"/>
      <c r="AAY56" s="20"/>
      <c r="AAZ56" s="20"/>
      <c r="ABA56" s="20"/>
      <c r="ABB56" s="20"/>
      <c r="ABC56" s="20"/>
      <c r="ABD56" s="20"/>
      <c r="ABE56" s="20"/>
      <c r="ABF56" s="20"/>
      <c r="ABG56" s="20"/>
      <c r="ABH56" s="20"/>
      <c r="ABI56" s="20"/>
      <c r="ABJ56" s="20"/>
      <c r="ABK56" s="20"/>
      <c r="ABL56" s="20"/>
      <c r="ABM56" s="20"/>
      <c r="ABN56" s="20"/>
      <c r="ABO56" s="20"/>
      <c r="ABP56" s="20"/>
      <c r="ABQ56" s="20"/>
      <c r="ABR56" s="20"/>
      <c r="ABS56" s="20"/>
      <c r="ABT56" s="20"/>
      <c r="ABU56" s="20"/>
      <c r="ABV56" s="20"/>
      <c r="ABW56" s="20"/>
      <c r="ABX56" s="20"/>
      <c r="ABY56" s="20"/>
      <c r="ABZ56" s="20"/>
      <c r="ACA56" s="20"/>
      <c r="ACB56" s="20"/>
      <c r="ACC56" s="20"/>
      <c r="ACD56" s="20"/>
      <c r="ACE56" s="20"/>
      <c r="ACF56" s="20"/>
      <c r="ACG56" s="20"/>
      <c r="ACH56" s="20"/>
      <c r="ACI56" s="20"/>
      <c r="ACJ56" s="20"/>
      <c r="ACK56" s="20"/>
      <c r="ACL56" s="20"/>
      <c r="ACM56" s="20"/>
      <c r="ACN56" s="20"/>
      <c r="ACO56" s="20"/>
      <c r="ACP56" s="20"/>
      <c r="ACQ56" s="20"/>
    </row>
    <row r="57" spans="1:771" s="62" customFormat="1" ht="255">
      <c r="A57" s="57"/>
      <c r="B57" s="61" t="s">
        <v>310</v>
      </c>
      <c r="D57" s="61" t="s">
        <v>305</v>
      </c>
      <c r="F57" s="63" t="s">
        <v>254</v>
      </c>
      <c r="H57" s="61" t="s">
        <v>298</v>
      </c>
      <c r="J57" s="61" t="s">
        <v>306</v>
      </c>
      <c r="L57" s="61" t="s">
        <v>74</v>
      </c>
      <c r="N57" s="61" t="s">
        <v>178</v>
      </c>
      <c r="P57" s="61" t="s">
        <v>307</v>
      </c>
      <c r="R57" s="64" t="s">
        <v>311</v>
      </c>
      <c r="T57" s="70" t="s">
        <v>265</v>
      </c>
      <c r="U57" s="66"/>
      <c r="V57" s="67" t="s">
        <v>79</v>
      </c>
      <c r="W57" s="68"/>
      <c r="X57" s="67" t="s">
        <v>80</v>
      </c>
      <c r="Y57" s="68"/>
      <c r="Z57" s="67" t="s">
        <v>80</v>
      </c>
      <c r="AA57" s="68"/>
      <c r="AB57" s="63" t="s">
        <v>92</v>
      </c>
      <c r="AD57" s="63" t="s">
        <v>309</v>
      </c>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row>
    <row r="58" spans="1:771" s="62" customFormat="1" ht="102">
      <c r="A58" s="57"/>
      <c r="B58" s="61" t="s">
        <v>312</v>
      </c>
      <c r="D58" s="61" t="s">
        <v>305</v>
      </c>
      <c r="F58" s="63" t="s">
        <v>254</v>
      </c>
      <c r="H58" s="61" t="s">
        <v>298</v>
      </c>
      <c r="J58" s="61" t="s">
        <v>306</v>
      </c>
      <c r="L58" s="61" t="s">
        <v>74</v>
      </c>
      <c r="N58" s="61" t="s">
        <v>178</v>
      </c>
      <c r="P58" s="61" t="s">
        <v>307</v>
      </c>
      <c r="R58" s="64" t="s">
        <v>313</v>
      </c>
      <c r="T58" s="70" t="s">
        <v>265</v>
      </c>
      <c r="U58" s="66"/>
      <c r="V58" s="67" t="s">
        <v>79</v>
      </c>
      <c r="W58" s="68"/>
      <c r="X58" s="67" t="s">
        <v>80</v>
      </c>
      <c r="Y58" s="68"/>
      <c r="Z58" s="67" t="s">
        <v>80</v>
      </c>
      <c r="AA58" s="68"/>
      <c r="AB58" s="63" t="s">
        <v>80</v>
      </c>
      <c r="AD58" s="63" t="s">
        <v>309</v>
      </c>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row>
    <row r="59" spans="1:771" s="62" customFormat="1" ht="204">
      <c r="A59" s="57"/>
      <c r="B59" s="61" t="s">
        <v>314</v>
      </c>
      <c r="D59" s="61" t="s">
        <v>305</v>
      </c>
      <c r="F59" s="63" t="s">
        <v>254</v>
      </c>
      <c r="H59" s="61" t="s">
        <v>298</v>
      </c>
      <c r="J59" s="61" t="s">
        <v>306</v>
      </c>
      <c r="L59" s="61" t="s">
        <v>74</v>
      </c>
      <c r="N59" s="61" t="s">
        <v>178</v>
      </c>
      <c r="P59" s="61" t="s">
        <v>307</v>
      </c>
      <c r="R59" s="64" t="s">
        <v>315</v>
      </c>
      <c r="T59" s="70" t="s">
        <v>265</v>
      </c>
      <c r="U59" s="66"/>
      <c r="V59" s="67" t="s">
        <v>79</v>
      </c>
      <c r="W59" s="68"/>
      <c r="X59" s="67" t="s">
        <v>80</v>
      </c>
      <c r="Y59" s="68"/>
      <c r="Z59" s="67" t="s">
        <v>80</v>
      </c>
      <c r="AA59" s="68"/>
      <c r="AB59" s="63" t="s">
        <v>80</v>
      </c>
      <c r="AD59" s="63" t="s">
        <v>309</v>
      </c>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0"/>
      <c r="NH59" s="20"/>
      <c r="NI59" s="20"/>
      <c r="NJ59" s="20"/>
      <c r="NK59" s="20"/>
      <c r="NL59" s="20"/>
      <c r="NM59" s="20"/>
      <c r="NN59" s="20"/>
      <c r="NO59" s="20"/>
      <c r="NP59" s="20"/>
      <c r="NQ59" s="20"/>
      <c r="NR59" s="20"/>
      <c r="NS59" s="20"/>
      <c r="NT59" s="20"/>
      <c r="NU59" s="20"/>
      <c r="NV59" s="20"/>
      <c r="NW59" s="20"/>
      <c r="NX59" s="20"/>
      <c r="NY59" s="20"/>
      <c r="NZ59" s="20"/>
      <c r="OA59" s="20"/>
      <c r="OB59" s="20"/>
      <c r="OC59" s="20"/>
      <c r="OD59" s="20"/>
      <c r="OE59" s="20"/>
      <c r="OF59" s="20"/>
      <c r="OG59" s="20"/>
      <c r="OH59" s="20"/>
      <c r="OI59" s="20"/>
      <c r="OJ59" s="20"/>
      <c r="OK59" s="20"/>
      <c r="OL59" s="20"/>
      <c r="OM59" s="20"/>
      <c r="ON59" s="20"/>
      <c r="OO59" s="20"/>
      <c r="OP59" s="20"/>
      <c r="OQ59" s="20"/>
      <c r="OR59" s="20"/>
      <c r="OS59" s="20"/>
      <c r="OT59" s="20"/>
      <c r="OU59" s="20"/>
      <c r="OV59" s="20"/>
      <c r="OW59" s="20"/>
      <c r="OX59" s="20"/>
      <c r="OY59" s="20"/>
      <c r="OZ59" s="20"/>
      <c r="PA59" s="20"/>
      <c r="PB59" s="20"/>
      <c r="PC59" s="20"/>
      <c r="PD59" s="20"/>
      <c r="PE59" s="20"/>
      <c r="PF59" s="20"/>
      <c r="PG59" s="20"/>
      <c r="PH59" s="20"/>
      <c r="PI59" s="20"/>
      <c r="PJ59" s="20"/>
      <c r="PK59" s="20"/>
      <c r="PL59" s="20"/>
      <c r="PM59" s="20"/>
      <c r="PN59" s="20"/>
      <c r="PO59" s="20"/>
      <c r="PP59" s="20"/>
      <c r="PQ59" s="20"/>
      <c r="PR59" s="20"/>
      <c r="PS59" s="20"/>
      <c r="PT59" s="20"/>
      <c r="PU59" s="20"/>
      <c r="PV59" s="20"/>
      <c r="PW59" s="20"/>
      <c r="PX59" s="20"/>
      <c r="PY59" s="20"/>
      <c r="PZ59" s="20"/>
      <c r="QA59" s="20"/>
      <c r="QB59" s="20"/>
      <c r="QC59" s="20"/>
      <c r="QD59" s="20"/>
      <c r="QE59" s="20"/>
      <c r="QF59" s="20"/>
      <c r="QG59" s="20"/>
      <c r="QH59" s="20"/>
      <c r="QI59" s="20"/>
      <c r="QJ59" s="20"/>
      <c r="QK59" s="20"/>
      <c r="QL59" s="20"/>
      <c r="QM59" s="20"/>
      <c r="QN59" s="20"/>
      <c r="QO59" s="20"/>
      <c r="QP59" s="20"/>
      <c r="QQ59" s="20"/>
      <c r="QR59" s="20"/>
      <c r="QS59" s="20"/>
      <c r="QT59" s="20"/>
      <c r="QU59" s="20"/>
      <c r="QV59" s="20"/>
      <c r="QW59" s="20"/>
      <c r="QX59" s="20"/>
      <c r="QY59" s="20"/>
      <c r="QZ59" s="20"/>
      <c r="RA59" s="20"/>
      <c r="RB59" s="20"/>
      <c r="RC59" s="20"/>
      <c r="RD59" s="20"/>
      <c r="RE59" s="20"/>
      <c r="RF59" s="20"/>
      <c r="RG59" s="20"/>
      <c r="RH59" s="20"/>
      <c r="RI59" s="20"/>
      <c r="RJ59" s="20"/>
      <c r="RK59" s="20"/>
      <c r="RL59" s="20"/>
      <c r="RM59" s="20"/>
      <c r="RN59" s="20"/>
      <c r="RO59" s="20"/>
      <c r="RP59" s="20"/>
      <c r="RQ59" s="20"/>
      <c r="RR59" s="20"/>
      <c r="RS59" s="20"/>
      <c r="RT59" s="20"/>
      <c r="RU59" s="20"/>
      <c r="RV59" s="20"/>
      <c r="RW59" s="20"/>
      <c r="RX59" s="20"/>
      <c r="RY59" s="20"/>
      <c r="RZ59" s="20"/>
      <c r="SA59" s="20"/>
      <c r="SB59" s="20"/>
      <c r="SC59" s="20"/>
      <c r="SD59" s="20"/>
      <c r="SE59" s="20"/>
      <c r="SF59" s="20"/>
      <c r="SG59" s="20"/>
      <c r="SH59" s="20"/>
      <c r="SI59" s="20"/>
      <c r="SJ59" s="20"/>
      <c r="SK59" s="20"/>
      <c r="SL59" s="20"/>
      <c r="SM59" s="20"/>
      <c r="SN59" s="20"/>
      <c r="SO59" s="20"/>
      <c r="SP59" s="20"/>
      <c r="SQ59" s="20"/>
      <c r="SR59" s="20"/>
      <c r="SS59" s="20"/>
      <c r="ST59" s="20"/>
      <c r="SU59" s="20"/>
      <c r="SV59" s="20"/>
      <c r="SW59" s="20"/>
      <c r="SX59" s="20"/>
      <c r="SY59" s="20"/>
      <c r="SZ59" s="20"/>
      <c r="TA59" s="20"/>
      <c r="TB59" s="20"/>
      <c r="TC59" s="20"/>
      <c r="TD59" s="20"/>
      <c r="TE59" s="20"/>
      <c r="TF59" s="20"/>
      <c r="TG59" s="20"/>
      <c r="TH59" s="20"/>
      <c r="TI59" s="20"/>
      <c r="TJ59" s="20"/>
      <c r="TK59" s="20"/>
      <c r="TL59" s="20"/>
      <c r="TM59" s="20"/>
      <c r="TN59" s="20"/>
      <c r="TO59" s="20"/>
      <c r="TP59" s="20"/>
      <c r="TQ59" s="20"/>
      <c r="TR59" s="20"/>
      <c r="TS59" s="20"/>
      <c r="TT59" s="20"/>
      <c r="TU59" s="20"/>
      <c r="TV59" s="20"/>
      <c r="TW59" s="20"/>
      <c r="TX59" s="20"/>
      <c r="TY59" s="20"/>
      <c r="TZ59" s="20"/>
      <c r="UA59" s="20"/>
      <c r="UB59" s="20"/>
      <c r="UC59" s="20"/>
      <c r="UD59" s="20"/>
      <c r="UE59" s="20"/>
      <c r="UF59" s="20"/>
      <c r="UG59" s="20"/>
      <c r="UH59" s="20"/>
      <c r="UI59" s="20"/>
      <c r="UJ59" s="20"/>
      <c r="UK59" s="20"/>
      <c r="UL59" s="20"/>
      <c r="UM59" s="20"/>
      <c r="UN59" s="20"/>
      <c r="UO59" s="20"/>
      <c r="UP59" s="20"/>
      <c r="UQ59" s="20"/>
      <c r="UR59" s="20"/>
      <c r="US59" s="20"/>
      <c r="UT59" s="20"/>
      <c r="UU59" s="20"/>
      <c r="UV59" s="20"/>
      <c r="UW59" s="20"/>
      <c r="UX59" s="20"/>
      <c r="UY59" s="20"/>
      <c r="UZ59" s="20"/>
      <c r="VA59" s="20"/>
      <c r="VB59" s="20"/>
      <c r="VC59" s="20"/>
      <c r="VD59" s="20"/>
      <c r="VE59" s="20"/>
      <c r="VF59" s="20"/>
      <c r="VG59" s="20"/>
      <c r="VH59" s="20"/>
      <c r="VI59" s="20"/>
      <c r="VJ59" s="20"/>
      <c r="VK59" s="20"/>
      <c r="VL59" s="20"/>
      <c r="VM59" s="20"/>
      <c r="VN59" s="20"/>
      <c r="VO59" s="20"/>
      <c r="VP59" s="20"/>
      <c r="VQ59" s="20"/>
      <c r="VR59" s="20"/>
      <c r="VS59" s="20"/>
      <c r="VT59" s="20"/>
      <c r="VU59" s="20"/>
      <c r="VV59" s="20"/>
      <c r="VW59" s="20"/>
      <c r="VX59" s="20"/>
      <c r="VY59" s="20"/>
      <c r="VZ59" s="20"/>
      <c r="WA59" s="20"/>
      <c r="WB59" s="20"/>
      <c r="WC59" s="20"/>
      <c r="WD59" s="20"/>
      <c r="WE59" s="20"/>
      <c r="WF59" s="20"/>
      <c r="WG59" s="20"/>
      <c r="WH59" s="20"/>
      <c r="WI59" s="20"/>
      <c r="WJ59" s="20"/>
      <c r="WK59" s="20"/>
      <c r="WL59" s="20"/>
      <c r="WM59" s="20"/>
      <c r="WN59" s="20"/>
      <c r="WO59" s="20"/>
      <c r="WP59" s="20"/>
      <c r="WQ59" s="20"/>
      <c r="WR59" s="20"/>
      <c r="WS59" s="20"/>
      <c r="WT59" s="20"/>
      <c r="WU59" s="20"/>
      <c r="WV59" s="20"/>
      <c r="WW59" s="20"/>
      <c r="WX59" s="20"/>
      <c r="WY59" s="20"/>
      <c r="WZ59" s="20"/>
      <c r="XA59" s="20"/>
      <c r="XB59" s="20"/>
      <c r="XC59" s="20"/>
      <c r="XD59" s="20"/>
      <c r="XE59" s="20"/>
      <c r="XF59" s="20"/>
      <c r="XG59" s="20"/>
      <c r="XH59" s="20"/>
      <c r="XI59" s="20"/>
      <c r="XJ59" s="20"/>
      <c r="XK59" s="20"/>
      <c r="XL59" s="20"/>
      <c r="XM59" s="20"/>
      <c r="XN59" s="20"/>
      <c r="XO59" s="20"/>
      <c r="XP59" s="20"/>
      <c r="XQ59" s="20"/>
      <c r="XR59" s="20"/>
      <c r="XS59" s="20"/>
      <c r="XT59" s="20"/>
      <c r="XU59" s="20"/>
      <c r="XV59" s="20"/>
      <c r="XW59" s="20"/>
      <c r="XX59" s="20"/>
      <c r="XY59" s="20"/>
      <c r="XZ59" s="20"/>
      <c r="YA59" s="20"/>
      <c r="YB59" s="20"/>
      <c r="YC59" s="20"/>
      <c r="YD59" s="20"/>
      <c r="YE59" s="20"/>
      <c r="YF59" s="20"/>
      <c r="YG59" s="20"/>
      <c r="YH59" s="20"/>
      <c r="YI59" s="20"/>
      <c r="YJ59" s="20"/>
      <c r="YK59" s="20"/>
      <c r="YL59" s="20"/>
      <c r="YM59" s="20"/>
      <c r="YN59" s="20"/>
      <c r="YO59" s="20"/>
      <c r="YP59" s="20"/>
      <c r="YQ59" s="20"/>
      <c r="YR59" s="20"/>
      <c r="YS59" s="20"/>
      <c r="YT59" s="20"/>
      <c r="YU59" s="20"/>
      <c r="YV59" s="20"/>
      <c r="YW59" s="20"/>
      <c r="YX59" s="20"/>
      <c r="YY59" s="20"/>
      <c r="YZ59" s="20"/>
      <c r="ZA59" s="20"/>
      <c r="ZB59" s="20"/>
      <c r="ZC59" s="20"/>
      <c r="ZD59" s="20"/>
      <c r="ZE59" s="20"/>
      <c r="ZF59" s="20"/>
      <c r="ZG59" s="20"/>
      <c r="ZH59" s="20"/>
      <c r="ZI59" s="20"/>
      <c r="ZJ59" s="20"/>
      <c r="ZK59" s="20"/>
      <c r="ZL59" s="20"/>
      <c r="ZM59" s="20"/>
      <c r="ZN59" s="20"/>
      <c r="ZO59" s="20"/>
      <c r="ZP59" s="20"/>
      <c r="ZQ59" s="20"/>
      <c r="ZR59" s="20"/>
      <c r="ZS59" s="20"/>
      <c r="ZT59" s="20"/>
      <c r="ZU59" s="20"/>
      <c r="ZV59" s="20"/>
      <c r="ZW59" s="20"/>
      <c r="ZX59" s="20"/>
      <c r="ZY59" s="20"/>
      <c r="ZZ59" s="20"/>
      <c r="AAA59" s="20"/>
      <c r="AAB59" s="20"/>
      <c r="AAC59" s="20"/>
      <c r="AAD59" s="20"/>
      <c r="AAE59" s="20"/>
      <c r="AAF59" s="20"/>
      <c r="AAG59" s="20"/>
      <c r="AAH59" s="20"/>
      <c r="AAI59" s="20"/>
      <c r="AAJ59" s="20"/>
      <c r="AAK59" s="20"/>
      <c r="AAL59" s="20"/>
      <c r="AAM59" s="20"/>
      <c r="AAN59" s="20"/>
      <c r="AAO59" s="20"/>
      <c r="AAP59" s="20"/>
      <c r="AAQ59" s="20"/>
      <c r="AAR59" s="20"/>
      <c r="AAS59" s="20"/>
      <c r="AAT59" s="20"/>
      <c r="AAU59" s="20"/>
      <c r="AAV59" s="20"/>
      <c r="AAW59" s="20"/>
      <c r="AAX59" s="20"/>
      <c r="AAY59" s="20"/>
      <c r="AAZ59" s="20"/>
      <c r="ABA59" s="20"/>
      <c r="ABB59" s="20"/>
      <c r="ABC59" s="20"/>
      <c r="ABD59" s="20"/>
      <c r="ABE59" s="20"/>
      <c r="ABF59" s="20"/>
      <c r="ABG59" s="20"/>
      <c r="ABH59" s="20"/>
      <c r="ABI59" s="20"/>
      <c r="ABJ59" s="20"/>
      <c r="ABK59" s="20"/>
      <c r="ABL59" s="20"/>
      <c r="ABM59" s="20"/>
      <c r="ABN59" s="20"/>
      <c r="ABO59" s="20"/>
      <c r="ABP59" s="20"/>
      <c r="ABQ59" s="20"/>
      <c r="ABR59" s="20"/>
      <c r="ABS59" s="20"/>
      <c r="ABT59" s="20"/>
      <c r="ABU59" s="20"/>
      <c r="ABV59" s="20"/>
      <c r="ABW59" s="20"/>
      <c r="ABX59" s="20"/>
      <c r="ABY59" s="20"/>
      <c r="ABZ59" s="20"/>
      <c r="ACA59" s="20"/>
      <c r="ACB59" s="20"/>
      <c r="ACC59" s="20"/>
      <c r="ACD59" s="20"/>
      <c r="ACE59" s="20"/>
      <c r="ACF59" s="20"/>
      <c r="ACG59" s="20"/>
      <c r="ACH59" s="20"/>
      <c r="ACI59" s="20"/>
      <c r="ACJ59" s="20"/>
      <c r="ACK59" s="20"/>
      <c r="ACL59" s="20"/>
      <c r="ACM59" s="20"/>
      <c r="ACN59" s="20"/>
      <c r="ACO59" s="20"/>
      <c r="ACP59" s="20"/>
      <c r="ACQ59" s="20"/>
    </row>
    <row r="60" spans="1:771" s="62" customFormat="1" ht="186.95">
      <c r="A60" s="57"/>
      <c r="B60" s="61" t="s">
        <v>316</v>
      </c>
      <c r="D60" s="61" t="s">
        <v>305</v>
      </c>
      <c r="F60" s="63" t="s">
        <v>254</v>
      </c>
      <c r="H60" s="61" t="s">
        <v>298</v>
      </c>
      <c r="J60" s="61" t="s">
        <v>306</v>
      </c>
      <c r="L60" s="61" t="s">
        <v>74</v>
      </c>
      <c r="N60" s="61" t="s">
        <v>178</v>
      </c>
      <c r="P60" s="61" t="s">
        <v>307</v>
      </c>
      <c r="R60" s="64" t="s">
        <v>317</v>
      </c>
      <c r="T60" s="70" t="s">
        <v>265</v>
      </c>
      <c r="U60" s="66"/>
      <c r="V60" s="67" t="s">
        <v>79</v>
      </c>
      <c r="W60" s="68"/>
      <c r="X60" s="67" t="s">
        <v>80</v>
      </c>
      <c r="Y60" s="68"/>
      <c r="Z60" s="67" t="s">
        <v>80</v>
      </c>
      <c r="AA60" s="68"/>
      <c r="AB60" s="67" t="s">
        <v>80</v>
      </c>
      <c r="AD60" s="63" t="s">
        <v>309</v>
      </c>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row>
    <row r="61" spans="1:771" s="62" customFormat="1" ht="135.94999999999999">
      <c r="A61" s="57"/>
      <c r="B61" s="61" t="s">
        <v>318</v>
      </c>
      <c r="D61" s="61" t="s">
        <v>305</v>
      </c>
      <c r="F61" s="63" t="s">
        <v>254</v>
      </c>
      <c r="H61" s="61" t="s">
        <v>298</v>
      </c>
      <c r="J61" s="61" t="s">
        <v>306</v>
      </c>
      <c r="L61" s="61" t="s">
        <v>74</v>
      </c>
      <c r="N61" s="61" t="s">
        <v>178</v>
      </c>
      <c r="P61" s="61" t="s">
        <v>307</v>
      </c>
      <c r="R61" s="64" t="s">
        <v>319</v>
      </c>
      <c r="T61" s="70" t="s">
        <v>265</v>
      </c>
      <c r="U61" s="66"/>
      <c r="V61" s="67" t="s">
        <v>79</v>
      </c>
      <c r="W61" s="68"/>
      <c r="X61" s="67" t="s">
        <v>80</v>
      </c>
      <c r="Y61" s="68"/>
      <c r="Z61" s="67" t="s">
        <v>80</v>
      </c>
      <c r="AA61" s="68"/>
      <c r="AB61" s="63" t="s">
        <v>92</v>
      </c>
      <c r="AD61" s="63" t="s">
        <v>309</v>
      </c>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0"/>
      <c r="NI61" s="20"/>
      <c r="NJ61" s="20"/>
      <c r="NK61" s="20"/>
      <c r="NL61" s="20"/>
      <c r="NM61" s="20"/>
      <c r="NN61" s="20"/>
      <c r="NO61" s="20"/>
      <c r="NP61" s="20"/>
      <c r="NQ61" s="20"/>
      <c r="NR61" s="20"/>
      <c r="NS61" s="20"/>
      <c r="NT61" s="20"/>
      <c r="NU61" s="20"/>
      <c r="NV61" s="20"/>
      <c r="NW61" s="20"/>
      <c r="NX61" s="20"/>
      <c r="NY61" s="20"/>
      <c r="NZ61" s="20"/>
      <c r="OA61" s="20"/>
      <c r="OB61" s="20"/>
      <c r="OC61" s="20"/>
      <c r="OD61" s="20"/>
      <c r="OE61" s="20"/>
      <c r="OF61" s="20"/>
      <c r="OG61" s="20"/>
      <c r="OH61" s="20"/>
      <c r="OI61" s="20"/>
      <c r="OJ61" s="20"/>
      <c r="OK61" s="20"/>
      <c r="OL61" s="20"/>
      <c r="OM61" s="20"/>
      <c r="ON61" s="20"/>
      <c r="OO61" s="20"/>
      <c r="OP61" s="20"/>
      <c r="OQ61" s="20"/>
      <c r="OR61" s="20"/>
      <c r="OS61" s="20"/>
      <c r="OT61" s="20"/>
      <c r="OU61" s="20"/>
      <c r="OV61" s="20"/>
      <c r="OW61" s="20"/>
      <c r="OX61" s="20"/>
      <c r="OY61" s="20"/>
      <c r="OZ61" s="20"/>
      <c r="PA61" s="20"/>
      <c r="PB61" s="20"/>
      <c r="PC61" s="20"/>
      <c r="PD61" s="20"/>
      <c r="PE61" s="20"/>
      <c r="PF61" s="20"/>
      <c r="PG61" s="20"/>
      <c r="PH61" s="20"/>
      <c r="PI61" s="20"/>
      <c r="PJ61" s="20"/>
      <c r="PK61" s="20"/>
      <c r="PL61" s="20"/>
      <c r="PM61" s="20"/>
      <c r="PN61" s="20"/>
      <c r="PO61" s="20"/>
      <c r="PP61" s="20"/>
      <c r="PQ61" s="20"/>
      <c r="PR61" s="20"/>
      <c r="PS61" s="20"/>
      <c r="PT61" s="20"/>
      <c r="PU61" s="20"/>
      <c r="PV61" s="20"/>
      <c r="PW61" s="20"/>
      <c r="PX61" s="20"/>
      <c r="PY61" s="20"/>
      <c r="PZ61" s="20"/>
      <c r="QA61" s="20"/>
      <c r="QB61" s="20"/>
      <c r="QC61" s="20"/>
      <c r="QD61" s="20"/>
      <c r="QE61" s="20"/>
      <c r="QF61" s="20"/>
      <c r="QG61" s="20"/>
      <c r="QH61" s="20"/>
      <c r="QI61" s="20"/>
      <c r="QJ61" s="20"/>
      <c r="QK61" s="20"/>
      <c r="QL61" s="20"/>
      <c r="QM61" s="20"/>
      <c r="QN61" s="20"/>
      <c r="QO61" s="20"/>
      <c r="QP61" s="20"/>
      <c r="QQ61" s="20"/>
      <c r="QR61" s="20"/>
      <c r="QS61" s="20"/>
      <c r="QT61" s="20"/>
      <c r="QU61" s="20"/>
      <c r="QV61" s="20"/>
      <c r="QW61" s="20"/>
      <c r="QX61" s="20"/>
      <c r="QY61" s="20"/>
      <c r="QZ61" s="20"/>
      <c r="RA61" s="20"/>
      <c r="RB61" s="20"/>
      <c r="RC61" s="20"/>
      <c r="RD61" s="20"/>
      <c r="RE61" s="20"/>
      <c r="RF61" s="20"/>
      <c r="RG61" s="20"/>
      <c r="RH61" s="20"/>
      <c r="RI61" s="20"/>
      <c r="RJ61" s="20"/>
      <c r="RK61" s="20"/>
      <c r="RL61" s="20"/>
      <c r="RM61" s="20"/>
      <c r="RN61" s="20"/>
      <c r="RO61" s="20"/>
      <c r="RP61" s="20"/>
      <c r="RQ61" s="20"/>
      <c r="RR61" s="20"/>
      <c r="RS61" s="20"/>
      <c r="RT61" s="20"/>
      <c r="RU61" s="20"/>
      <c r="RV61" s="20"/>
      <c r="RW61" s="20"/>
      <c r="RX61" s="20"/>
      <c r="RY61" s="20"/>
      <c r="RZ61" s="20"/>
      <c r="SA61" s="20"/>
      <c r="SB61" s="20"/>
      <c r="SC61" s="20"/>
      <c r="SD61" s="20"/>
      <c r="SE61" s="20"/>
      <c r="SF61" s="20"/>
      <c r="SG61" s="20"/>
      <c r="SH61" s="20"/>
      <c r="SI61" s="20"/>
      <c r="SJ61" s="20"/>
      <c r="SK61" s="20"/>
      <c r="SL61" s="20"/>
      <c r="SM61" s="20"/>
      <c r="SN61" s="20"/>
      <c r="SO61" s="20"/>
      <c r="SP61" s="20"/>
      <c r="SQ61" s="20"/>
      <c r="SR61" s="20"/>
      <c r="SS61" s="20"/>
      <c r="ST61" s="20"/>
      <c r="SU61" s="20"/>
      <c r="SV61" s="20"/>
      <c r="SW61" s="20"/>
      <c r="SX61" s="20"/>
      <c r="SY61" s="20"/>
      <c r="SZ61" s="20"/>
      <c r="TA61" s="20"/>
      <c r="TB61" s="20"/>
      <c r="TC61" s="20"/>
      <c r="TD61" s="20"/>
      <c r="TE61" s="20"/>
      <c r="TF61" s="20"/>
      <c r="TG61" s="20"/>
      <c r="TH61" s="20"/>
      <c r="TI61" s="20"/>
      <c r="TJ61" s="20"/>
      <c r="TK61" s="20"/>
      <c r="TL61" s="20"/>
      <c r="TM61" s="20"/>
      <c r="TN61" s="20"/>
      <c r="TO61" s="20"/>
      <c r="TP61" s="20"/>
      <c r="TQ61" s="20"/>
      <c r="TR61" s="20"/>
      <c r="TS61" s="20"/>
      <c r="TT61" s="20"/>
      <c r="TU61" s="20"/>
      <c r="TV61" s="20"/>
      <c r="TW61" s="20"/>
      <c r="TX61" s="20"/>
      <c r="TY61" s="20"/>
      <c r="TZ61" s="20"/>
      <c r="UA61" s="20"/>
      <c r="UB61" s="20"/>
      <c r="UC61" s="20"/>
      <c r="UD61" s="20"/>
      <c r="UE61" s="20"/>
      <c r="UF61" s="20"/>
      <c r="UG61" s="20"/>
      <c r="UH61" s="20"/>
      <c r="UI61" s="20"/>
      <c r="UJ61" s="20"/>
      <c r="UK61" s="20"/>
      <c r="UL61" s="20"/>
      <c r="UM61" s="20"/>
      <c r="UN61" s="20"/>
      <c r="UO61" s="20"/>
      <c r="UP61" s="20"/>
      <c r="UQ61" s="20"/>
      <c r="UR61" s="20"/>
      <c r="US61" s="20"/>
      <c r="UT61" s="20"/>
      <c r="UU61" s="20"/>
      <c r="UV61" s="20"/>
      <c r="UW61" s="20"/>
      <c r="UX61" s="20"/>
      <c r="UY61" s="20"/>
      <c r="UZ61" s="20"/>
      <c r="VA61" s="20"/>
      <c r="VB61" s="20"/>
      <c r="VC61" s="20"/>
      <c r="VD61" s="20"/>
      <c r="VE61" s="20"/>
      <c r="VF61" s="20"/>
      <c r="VG61" s="20"/>
      <c r="VH61" s="20"/>
      <c r="VI61" s="20"/>
      <c r="VJ61" s="20"/>
      <c r="VK61" s="20"/>
      <c r="VL61" s="20"/>
      <c r="VM61" s="20"/>
      <c r="VN61" s="20"/>
      <c r="VO61" s="20"/>
      <c r="VP61" s="20"/>
      <c r="VQ61" s="20"/>
      <c r="VR61" s="20"/>
      <c r="VS61" s="20"/>
      <c r="VT61" s="20"/>
      <c r="VU61" s="20"/>
      <c r="VV61" s="20"/>
      <c r="VW61" s="20"/>
      <c r="VX61" s="20"/>
      <c r="VY61" s="20"/>
      <c r="VZ61" s="20"/>
      <c r="WA61" s="20"/>
      <c r="WB61" s="20"/>
      <c r="WC61" s="20"/>
      <c r="WD61" s="20"/>
      <c r="WE61" s="20"/>
      <c r="WF61" s="20"/>
      <c r="WG61" s="20"/>
      <c r="WH61" s="20"/>
      <c r="WI61" s="20"/>
      <c r="WJ61" s="20"/>
      <c r="WK61" s="20"/>
      <c r="WL61" s="20"/>
      <c r="WM61" s="20"/>
      <c r="WN61" s="20"/>
      <c r="WO61" s="20"/>
      <c r="WP61" s="20"/>
      <c r="WQ61" s="20"/>
      <c r="WR61" s="20"/>
      <c r="WS61" s="20"/>
      <c r="WT61" s="20"/>
      <c r="WU61" s="20"/>
      <c r="WV61" s="20"/>
      <c r="WW61" s="20"/>
      <c r="WX61" s="20"/>
      <c r="WY61" s="20"/>
      <c r="WZ61" s="20"/>
      <c r="XA61" s="20"/>
      <c r="XB61" s="20"/>
      <c r="XC61" s="20"/>
      <c r="XD61" s="20"/>
      <c r="XE61" s="20"/>
      <c r="XF61" s="20"/>
      <c r="XG61" s="20"/>
      <c r="XH61" s="20"/>
      <c r="XI61" s="20"/>
      <c r="XJ61" s="20"/>
      <c r="XK61" s="20"/>
      <c r="XL61" s="20"/>
      <c r="XM61" s="20"/>
      <c r="XN61" s="20"/>
      <c r="XO61" s="20"/>
      <c r="XP61" s="20"/>
      <c r="XQ61" s="20"/>
      <c r="XR61" s="20"/>
      <c r="XS61" s="20"/>
      <c r="XT61" s="20"/>
      <c r="XU61" s="20"/>
      <c r="XV61" s="20"/>
      <c r="XW61" s="20"/>
      <c r="XX61" s="20"/>
      <c r="XY61" s="20"/>
      <c r="XZ61" s="20"/>
      <c r="YA61" s="20"/>
      <c r="YB61" s="20"/>
      <c r="YC61" s="20"/>
      <c r="YD61" s="20"/>
      <c r="YE61" s="20"/>
      <c r="YF61" s="20"/>
      <c r="YG61" s="20"/>
      <c r="YH61" s="20"/>
      <c r="YI61" s="20"/>
      <c r="YJ61" s="20"/>
      <c r="YK61" s="20"/>
      <c r="YL61" s="20"/>
      <c r="YM61" s="20"/>
      <c r="YN61" s="20"/>
      <c r="YO61" s="20"/>
      <c r="YP61" s="20"/>
      <c r="YQ61" s="20"/>
      <c r="YR61" s="20"/>
      <c r="YS61" s="20"/>
      <c r="YT61" s="20"/>
      <c r="YU61" s="20"/>
      <c r="YV61" s="20"/>
      <c r="YW61" s="20"/>
      <c r="YX61" s="20"/>
      <c r="YY61" s="20"/>
      <c r="YZ61" s="20"/>
      <c r="ZA61" s="20"/>
      <c r="ZB61" s="20"/>
      <c r="ZC61" s="20"/>
      <c r="ZD61" s="20"/>
      <c r="ZE61" s="20"/>
      <c r="ZF61" s="20"/>
      <c r="ZG61" s="20"/>
      <c r="ZH61" s="20"/>
      <c r="ZI61" s="20"/>
      <c r="ZJ61" s="20"/>
      <c r="ZK61" s="20"/>
      <c r="ZL61" s="20"/>
      <c r="ZM61" s="20"/>
      <c r="ZN61" s="20"/>
      <c r="ZO61" s="20"/>
      <c r="ZP61" s="20"/>
      <c r="ZQ61" s="20"/>
      <c r="ZR61" s="20"/>
      <c r="ZS61" s="20"/>
      <c r="ZT61" s="20"/>
      <c r="ZU61" s="20"/>
      <c r="ZV61" s="20"/>
      <c r="ZW61" s="20"/>
      <c r="ZX61" s="20"/>
      <c r="ZY61" s="20"/>
      <c r="ZZ61" s="20"/>
      <c r="AAA61" s="20"/>
      <c r="AAB61" s="20"/>
      <c r="AAC61" s="20"/>
      <c r="AAD61" s="20"/>
      <c r="AAE61" s="20"/>
      <c r="AAF61" s="20"/>
      <c r="AAG61" s="20"/>
      <c r="AAH61" s="20"/>
      <c r="AAI61" s="20"/>
      <c r="AAJ61" s="20"/>
      <c r="AAK61" s="20"/>
      <c r="AAL61" s="20"/>
      <c r="AAM61" s="20"/>
      <c r="AAN61" s="20"/>
      <c r="AAO61" s="20"/>
      <c r="AAP61" s="20"/>
      <c r="AAQ61" s="20"/>
      <c r="AAR61" s="20"/>
      <c r="AAS61" s="20"/>
      <c r="AAT61" s="20"/>
      <c r="AAU61" s="20"/>
      <c r="AAV61" s="20"/>
      <c r="AAW61" s="20"/>
      <c r="AAX61" s="20"/>
      <c r="AAY61" s="20"/>
      <c r="AAZ61" s="20"/>
      <c r="ABA61" s="20"/>
      <c r="ABB61" s="20"/>
      <c r="ABC61" s="20"/>
      <c r="ABD61" s="20"/>
      <c r="ABE61" s="20"/>
      <c r="ABF61" s="20"/>
      <c r="ABG61" s="20"/>
      <c r="ABH61" s="20"/>
      <c r="ABI61" s="20"/>
      <c r="ABJ61" s="20"/>
      <c r="ABK61" s="20"/>
      <c r="ABL61" s="20"/>
      <c r="ABM61" s="20"/>
      <c r="ABN61" s="20"/>
      <c r="ABO61" s="20"/>
      <c r="ABP61" s="20"/>
      <c r="ABQ61" s="20"/>
      <c r="ABR61" s="20"/>
      <c r="ABS61" s="20"/>
      <c r="ABT61" s="20"/>
      <c r="ABU61" s="20"/>
      <c r="ABV61" s="20"/>
      <c r="ABW61" s="20"/>
      <c r="ABX61" s="20"/>
      <c r="ABY61" s="20"/>
      <c r="ABZ61" s="20"/>
      <c r="ACA61" s="20"/>
      <c r="ACB61" s="20"/>
      <c r="ACC61" s="20"/>
      <c r="ACD61" s="20"/>
      <c r="ACE61" s="20"/>
      <c r="ACF61" s="20"/>
      <c r="ACG61" s="20"/>
      <c r="ACH61" s="20"/>
      <c r="ACI61" s="20"/>
      <c r="ACJ61" s="20"/>
      <c r="ACK61" s="20"/>
      <c r="ACL61" s="20"/>
      <c r="ACM61" s="20"/>
      <c r="ACN61" s="20"/>
      <c r="ACO61" s="20"/>
      <c r="ACP61" s="20"/>
      <c r="ACQ61" s="20"/>
    </row>
    <row r="62" spans="1:771" s="62" customFormat="1" ht="204">
      <c r="A62" s="57"/>
      <c r="B62" s="61" t="s">
        <v>320</v>
      </c>
      <c r="D62" s="61" t="s">
        <v>305</v>
      </c>
      <c r="F62" s="63" t="s">
        <v>254</v>
      </c>
      <c r="H62" s="61" t="s">
        <v>298</v>
      </c>
      <c r="J62" s="61" t="s">
        <v>306</v>
      </c>
      <c r="L62" s="61" t="s">
        <v>74</v>
      </c>
      <c r="N62" s="61" t="s">
        <v>178</v>
      </c>
      <c r="P62" s="61" t="s">
        <v>307</v>
      </c>
      <c r="R62" s="64" t="s">
        <v>321</v>
      </c>
      <c r="T62" s="70" t="s">
        <v>265</v>
      </c>
      <c r="U62" s="66"/>
      <c r="V62" s="67" t="s">
        <v>79</v>
      </c>
      <c r="W62" s="68"/>
      <c r="X62" s="67" t="s">
        <v>80</v>
      </c>
      <c r="Y62" s="68"/>
      <c r="Z62" s="67" t="s">
        <v>80</v>
      </c>
      <c r="AA62" s="68"/>
      <c r="AB62" s="63" t="s">
        <v>80</v>
      </c>
      <c r="AD62" s="63" t="s">
        <v>309</v>
      </c>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20"/>
      <c r="SL62" s="20"/>
      <c r="SM62" s="20"/>
      <c r="SN62" s="20"/>
      <c r="SO62" s="20"/>
      <c r="SP62" s="20"/>
      <c r="SQ62" s="20"/>
      <c r="SR62" s="20"/>
      <c r="SS62" s="20"/>
      <c r="ST62" s="20"/>
      <c r="SU62" s="20"/>
      <c r="SV62" s="20"/>
      <c r="SW62" s="20"/>
      <c r="SX62" s="20"/>
      <c r="SY62" s="20"/>
      <c r="SZ62" s="20"/>
      <c r="TA62" s="20"/>
      <c r="TB62" s="20"/>
      <c r="TC62" s="20"/>
      <c r="TD62" s="20"/>
      <c r="TE62" s="20"/>
      <c r="TF62" s="20"/>
      <c r="TG62" s="20"/>
      <c r="TH62" s="20"/>
      <c r="TI62" s="20"/>
      <c r="TJ62" s="20"/>
      <c r="TK62" s="20"/>
      <c r="TL62" s="20"/>
      <c r="TM62" s="20"/>
      <c r="TN62" s="20"/>
      <c r="TO62" s="20"/>
      <c r="TP62" s="20"/>
      <c r="TQ62" s="20"/>
      <c r="TR62" s="20"/>
      <c r="TS62" s="20"/>
      <c r="TT62" s="20"/>
      <c r="TU62" s="20"/>
      <c r="TV62" s="20"/>
      <c r="TW62" s="20"/>
      <c r="TX62" s="20"/>
      <c r="TY62" s="20"/>
      <c r="TZ62" s="20"/>
      <c r="UA62" s="20"/>
      <c r="UB62" s="20"/>
      <c r="UC62" s="20"/>
      <c r="UD62" s="20"/>
      <c r="UE62" s="20"/>
      <c r="UF62" s="20"/>
      <c r="UG62" s="20"/>
      <c r="UH62" s="20"/>
      <c r="UI62" s="20"/>
      <c r="UJ62" s="20"/>
      <c r="UK62" s="20"/>
      <c r="UL62" s="20"/>
      <c r="UM62" s="20"/>
      <c r="UN62" s="20"/>
      <c r="UO62" s="20"/>
      <c r="UP62" s="20"/>
      <c r="UQ62" s="20"/>
      <c r="UR62" s="20"/>
      <c r="US62" s="20"/>
      <c r="UT62" s="20"/>
      <c r="UU62" s="20"/>
      <c r="UV62" s="20"/>
      <c r="UW62" s="20"/>
      <c r="UX62" s="20"/>
      <c r="UY62" s="20"/>
      <c r="UZ62" s="20"/>
      <c r="VA62" s="20"/>
      <c r="VB62" s="20"/>
      <c r="VC62" s="20"/>
      <c r="VD62" s="20"/>
      <c r="VE62" s="20"/>
      <c r="VF62" s="20"/>
      <c r="VG62" s="20"/>
      <c r="VH62" s="20"/>
      <c r="VI62" s="20"/>
      <c r="VJ62" s="20"/>
      <c r="VK62" s="20"/>
      <c r="VL62" s="20"/>
      <c r="VM62" s="20"/>
      <c r="VN62" s="20"/>
      <c r="VO62" s="20"/>
      <c r="VP62" s="20"/>
      <c r="VQ62" s="20"/>
      <c r="VR62" s="20"/>
      <c r="VS62" s="20"/>
      <c r="VT62" s="20"/>
      <c r="VU62" s="20"/>
      <c r="VV62" s="20"/>
      <c r="VW62" s="20"/>
      <c r="VX62" s="20"/>
      <c r="VY62" s="20"/>
      <c r="VZ62" s="20"/>
      <c r="WA62" s="20"/>
      <c r="WB62" s="20"/>
      <c r="WC62" s="20"/>
      <c r="WD62" s="20"/>
      <c r="WE62" s="20"/>
      <c r="WF62" s="20"/>
      <c r="WG62" s="20"/>
      <c r="WH62" s="20"/>
      <c r="WI62" s="20"/>
      <c r="WJ62" s="20"/>
      <c r="WK62" s="20"/>
      <c r="WL62" s="20"/>
      <c r="WM62" s="20"/>
      <c r="WN62" s="20"/>
      <c r="WO62" s="20"/>
      <c r="WP62" s="20"/>
      <c r="WQ62" s="20"/>
      <c r="WR62" s="20"/>
      <c r="WS62" s="20"/>
      <c r="WT62" s="20"/>
      <c r="WU62" s="20"/>
      <c r="WV62" s="20"/>
      <c r="WW62" s="20"/>
      <c r="WX62" s="20"/>
      <c r="WY62" s="20"/>
      <c r="WZ62" s="20"/>
      <c r="XA62" s="20"/>
      <c r="XB62" s="20"/>
      <c r="XC62" s="20"/>
      <c r="XD62" s="20"/>
      <c r="XE62" s="20"/>
      <c r="XF62" s="20"/>
      <c r="XG62" s="20"/>
      <c r="XH62" s="20"/>
      <c r="XI62" s="20"/>
      <c r="XJ62" s="20"/>
      <c r="XK62" s="20"/>
      <c r="XL62" s="20"/>
      <c r="XM62" s="20"/>
      <c r="XN62" s="20"/>
      <c r="XO62" s="20"/>
      <c r="XP62" s="20"/>
      <c r="XQ62" s="20"/>
      <c r="XR62" s="20"/>
      <c r="XS62" s="20"/>
      <c r="XT62" s="20"/>
      <c r="XU62" s="20"/>
      <c r="XV62" s="20"/>
      <c r="XW62" s="20"/>
      <c r="XX62" s="20"/>
      <c r="XY62" s="20"/>
      <c r="XZ62" s="20"/>
      <c r="YA62" s="20"/>
      <c r="YB62" s="20"/>
      <c r="YC62" s="20"/>
      <c r="YD62" s="20"/>
      <c r="YE62" s="20"/>
      <c r="YF62" s="20"/>
      <c r="YG62" s="20"/>
      <c r="YH62" s="20"/>
      <c r="YI62" s="20"/>
      <c r="YJ62" s="20"/>
      <c r="YK62" s="20"/>
      <c r="YL62" s="20"/>
      <c r="YM62" s="20"/>
      <c r="YN62" s="20"/>
      <c r="YO62" s="20"/>
      <c r="YP62" s="20"/>
      <c r="YQ62" s="20"/>
      <c r="YR62" s="20"/>
      <c r="YS62" s="20"/>
      <c r="YT62" s="20"/>
      <c r="YU62" s="20"/>
      <c r="YV62" s="20"/>
      <c r="YW62" s="20"/>
      <c r="YX62" s="20"/>
      <c r="YY62" s="20"/>
      <c r="YZ62" s="20"/>
      <c r="ZA62" s="20"/>
      <c r="ZB62" s="20"/>
      <c r="ZC62" s="20"/>
      <c r="ZD62" s="20"/>
      <c r="ZE62" s="20"/>
      <c r="ZF62" s="20"/>
      <c r="ZG62" s="20"/>
      <c r="ZH62" s="20"/>
      <c r="ZI62" s="20"/>
      <c r="ZJ62" s="20"/>
      <c r="ZK62" s="20"/>
      <c r="ZL62" s="20"/>
      <c r="ZM62" s="20"/>
      <c r="ZN62" s="20"/>
      <c r="ZO62" s="20"/>
      <c r="ZP62" s="20"/>
      <c r="ZQ62" s="20"/>
      <c r="ZR62" s="20"/>
      <c r="ZS62" s="20"/>
      <c r="ZT62" s="20"/>
      <c r="ZU62" s="20"/>
      <c r="ZV62" s="20"/>
      <c r="ZW62" s="20"/>
      <c r="ZX62" s="20"/>
      <c r="ZY62" s="20"/>
      <c r="ZZ62" s="20"/>
      <c r="AAA62" s="20"/>
      <c r="AAB62" s="20"/>
      <c r="AAC62" s="20"/>
      <c r="AAD62" s="20"/>
      <c r="AAE62" s="20"/>
      <c r="AAF62" s="20"/>
      <c r="AAG62" s="20"/>
      <c r="AAH62" s="20"/>
      <c r="AAI62" s="20"/>
      <c r="AAJ62" s="20"/>
      <c r="AAK62" s="20"/>
      <c r="AAL62" s="20"/>
      <c r="AAM62" s="20"/>
      <c r="AAN62" s="20"/>
      <c r="AAO62" s="20"/>
      <c r="AAP62" s="20"/>
      <c r="AAQ62" s="20"/>
      <c r="AAR62" s="20"/>
      <c r="AAS62" s="20"/>
      <c r="AAT62" s="20"/>
      <c r="AAU62" s="20"/>
      <c r="AAV62" s="20"/>
      <c r="AAW62" s="20"/>
      <c r="AAX62" s="20"/>
      <c r="AAY62" s="20"/>
      <c r="AAZ62" s="20"/>
      <c r="ABA62" s="20"/>
      <c r="ABB62" s="20"/>
      <c r="ABC62" s="20"/>
      <c r="ABD62" s="20"/>
      <c r="ABE62" s="20"/>
      <c r="ABF62" s="20"/>
      <c r="ABG62" s="20"/>
      <c r="ABH62" s="20"/>
      <c r="ABI62" s="20"/>
      <c r="ABJ62" s="20"/>
      <c r="ABK62" s="20"/>
      <c r="ABL62" s="20"/>
      <c r="ABM62" s="20"/>
      <c r="ABN62" s="20"/>
      <c r="ABO62" s="20"/>
      <c r="ABP62" s="20"/>
      <c r="ABQ62" s="20"/>
      <c r="ABR62" s="20"/>
      <c r="ABS62" s="20"/>
      <c r="ABT62" s="20"/>
      <c r="ABU62" s="20"/>
      <c r="ABV62" s="20"/>
      <c r="ABW62" s="20"/>
      <c r="ABX62" s="20"/>
      <c r="ABY62" s="20"/>
      <c r="ABZ62" s="20"/>
      <c r="ACA62" s="20"/>
      <c r="ACB62" s="20"/>
      <c r="ACC62" s="20"/>
      <c r="ACD62" s="20"/>
      <c r="ACE62" s="20"/>
      <c r="ACF62" s="20"/>
      <c r="ACG62" s="20"/>
      <c r="ACH62" s="20"/>
      <c r="ACI62" s="20"/>
      <c r="ACJ62" s="20"/>
      <c r="ACK62" s="20"/>
      <c r="ACL62" s="20"/>
      <c r="ACM62" s="20"/>
      <c r="ACN62" s="20"/>
      <c r="ACO62" s="20"/>
      <c r="ACP62" s="20"/>
      <c r="ACQ62" s="20"/>
    </row>
    <row r="63" spans="1:771" s="62" customFormat="1" ht="33.950000000000003">
      <c r="A63" s="57"/>
      <c r="B63" s="61" t="s">
        <v>322</v>
      </c>
      <c r="D63" s="61" t="s">
        <v>305</v>
      </c>
      <c r="F63" s="63" t="s">
        <v>254</v>
      </c>
      <c r="H63" s="61" t="s">
        <v>298</v>
      </c>
      <c r="J63" s="61" t="s">
        <v>306</v>
      </c>
      <c r="L63" s="61" t="s">
        <v>74</v>
      </c>
      <c r="N63" s="61" t="s">
        <v>178</v>
      </c>
      <c r="P63" s="61" t="s">
        <v>307</v>
      </c>
      <c r="R63" s="64" t="s">
        <v>323</v>
      </c>
      <c r="T63" s="70" t="s">
        <v>265</v>
      </c>
      <c r="U63" s="66"/>
      <c r="V63" s="67" t="s">
        <v>80</v>
      </c>
      <c r="W63" s="68"/>
      <c r="X63" s="67" t="s">
        <v>80</v>
      </c>
      <c r="Y63" s="68"/>
      <c r="Z63" s="67" t="s">
        <v>80</v>
      </c>
      <c r="AA63" s="68"/>
      <c r="AB63" s="63" t="s">
        <v>80</v>
      </c>
      <c r="AD63" s="63" t="s">
        <v>309</v>
      </c>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20"/>
      <c r="JR63" s="20"/>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20"/>
      <c r="KW63" s="20"/>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20"/>
      <c r="LY63" s="20"/>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c r="NC63" s="20"/>
      <c r="ND63" s="20"/>
      <c r="NE63" s="20"/>
      <c r="NF63" s="20"/>
      <c r="NG63" s="20"/>
      <c r="NH63" s="20"/>
      <c r="NI63" s="20"/>
      <c r="NJ63" s="20"/>
      <c r="NK63" s="20"/>
      <c r="NL63" s="20"/>
      <c r="NM63" s="20"/>
      <c r="NN63" s="20"/>
      <c r="NO63" s="20"/>
      <c r="NP63" s="20"/>
      <c r="NQ63" s="20"/>
      <c r="NR63" s="20"/>
      <c r="NS63" s="20"/>
      <c r="NT63" s="20"/>
      <c r="NU63" s="20"/>
      <c r="NV63" s="20"/>
      <c r="NW63" s="20"/>
      <c r="NX63" s="20"/>
      <c r="NY63" s="20"/>
      <c r="NZ63" s="20"/>
      <c r="OA63" s="20"/>
      <c r="OB63" s="20"/>
      <c r="OC63" s="20"/>
      <c r="OD63" s="20"/>
      <c r="OE63" s="20"/>
      <c r="OF63" s="20"/>
      <c r="OG63" s="20"/>
      <c r="OH63" s="20"/>
      <c r="OI63" s="20"/>
      <c r="OJ63" s="20"/>
      <c r="OK63" s="20"/>
      <c r="OL63" s="20"/>
      <c r="OM63" s="20"/>
      <c r="ON63" s="20"/>
      <c r="OO63" s="20"/>
      <c r="OP63" s="20"/>
      <c r="OQ63" s="20"/>
      <c r="OR63" s="20"/>
      <c r="OS63" s="20"/>
      <c r="OT63" s="20"/>
      <c r="OU63" s="20"/>
      <c r="OV63" s="20"/>
      <c r="OW63" s="20"/>
      <c r="OX63" s="20"/>
      <c r="OY63" s="20"/>
      <c r="OZ63" s="20"/>
      <c r="PA63" s="20"/>
      <c r="PB63" s="20"/>
      <c r="PC63" s="20"/>
      <c r="PD63" s="20"/>
      <c r="PE63" s="20"/>
      <c r="PF63" s="20"/>
      <c r="PG63" s="20"/>
      <c r="PH63" s="20"/>
      <c r="PI63" s="20"/>
      <c r="PJ63" s="20"/>
      <c r="PK63" s="20"/>
      <c r="PL63" s="20"/>
      <c r="PM63" s="20"/>
      <c r="PN63" s="20"/>
      <c r="PO63" s="20"/>
      <c r="PP63" s="20"/>
      <c r="PQ63" s="20"/>
      <c r="PR63" s="20"/>
      <c r="PS63" s="20"/>
      <c r="PT63" s="20"/>
      <c r="PU63" s="20"/>
      <c r="PV63" s="20"/>
      <c r="PW63" s="20"/>
      <c r="PX63" s="20"/>
      <c r="PY63" s="20"/>
      <c r="PZ63" s="20"/>
      <c r="QA63" s="20"/>
      <c r="QB63" s="20"/>
      <c r="QC63" s="20"/>
      <c r="QD63" s="20"/>
      <c r="QE63" s="20"/>
      <c r="QF63" s="20"/>
      <c r="QG63" s="20"/>
      <c r="QH63" s="20"/>
      <c r="QI63" s="20"/>
      <c r="QJ63" s="20"/>
      <c r="QK63" s="20"/>
      <c r="QL63" s="20"/>
      <c r="QM63" s="20"/>
      <c r="QN63" s="20"/>
      <c r="QO63" s="20"/>
      <c r="QP63" s="20"/>
      <c r="QQ63" s="20"/>
      <c r="QR63" s="20"/>
      <c r="QS63" s="20"/>
      <c r="QT63" s="20"/>
      <c r="QU63" s="20"/>
      <c r="QV63" s="20"/>
      <c r="QW63" s="20"/>
      <c r="QX63" s="20"/>
      <c r="QY63" s="20"/>
      <c r="QZ63" s="20"/>
      <c r="RA63" s="20"/>
      <c r="RB63" s="20"/>
      <c r="RC63" s="20"/>
      <c r="RD63" s="20"/>
      <c r="RE63" s="20"/>
      <c r="RF63" s="20"/>
      <c r="RG63" s="20"/>
      <c r="RH63" s="20"/>
      <c r="RI63" s="20"/>
      <c r="RJ63" s="20"/>
      <c r="RK63" s="20"/>
      <c r="RL63" s="20"/>
      <c r="RM63" s="20"/>
      <c r="RN63" s="20"/>
      <c r="RO63" s="20"/>
      <c r="RP63" s="20"/>
      <c r="RQ63" s="20"/>
      <c r="RR63" s="20"/>
      <c r="RS63" s="20"/>
      <c r="RT63" s="20"/>
      <c r="RU63" s="20"/>
      <c r="RV63" s="20"/>
      <c r="RW63" s="20"/>
      <c r="RX63" s="20"/>
      <c r="RY63" s="20"/>
      <c r="RZ63" s="20"/>
      <c r="SA63" s="20"/>
      <c r="SB63" s="20"/>
      <c r="SC63" s="20"/>
      <c r="SD63" s="20"/>
      <c r="SE63" s="20"/>
      <c r="SF63" s="20"/>
      <c r="SG63" s="20"/>
      <c r="SH63" s="20"/>
      <c r="SI63" s="20"/>
      <c r="SJ63" s="20"/>
      <c r="SK63" s="20"/>
      <c r="SL63" s="20"/>
      <c r="SM63" s="20"/>
      <c r="SN63" s="20"/>
      <c r="SO63" s="20"/>
      <c r="SP63" s="20"/>
      <c r="SQ63" s="20"/>
      <c r="SR63" s="20"/>
      <c r="SS63" s="20"/>
      <c r="ST63" s="20"/>
      <c r="SU63" s="20"/>
      <c r="SV63" s="20"/>
      <c r="SW63" s="20"/>
      <c r="SX63" s="20"/>
      <c r="SY63" s="20"/>
      <c r="SZ63" s="20"/>
      <c r="TA63" s="20"/>
      <c r="TB63" s="20"/>
      <c r="TC63" s="20"/>
      <c r="TD63" s="20"/>
      <c r="TE63" s="20"/>
      <c r="TF63" s="20"/>
      <c r="TG63" s="20"/>
      <c r="TH63" s="20"/>
      <c r="TI63" s="20"/>
      <c r="TJ63" s="20"/>
      <c r="TK63" s="20"/>
      <c r="TL63" s="20"/>
      <c r="TM63" s="20"/>
      <c r="TN63" s="20"/>
      <c r="TO63" s="20"/>
      <c r="TP63" s="20"/>
      <c r="TQ63" s="20"/>
      <c r="TR63" s="20"/>
      <c r="TS63" s="20"/>
      <c r="TT63" s="20"/>
      <c r="TU63" s="20"/>
      <c r="TV63" s="20"/>
      <c r="TW63" s="20"/>
      <c r="TX63" s="20"/>
      <c r="TY63" s="20"/>
      <c r="TZ63" s="20"/>
      <c r="UA63" s="20"/>
      <c r="UB63" s="20"/>
      <c r="UC63" s="20"/>
      <c r="UD63" s="20"/>
      <c r="UE63" s="20"/>
      <c r="UF63" s="20"/>
      <c r="UG63" s="20"/>
      <c r="UH63" s="20"/>
      <c r="UI63" s="20"/>
      <c r="UJ63" s="20"/>
      <c r="UK63" s="20"/>
      <c r="UL63" s="20"/>
      <c r="UM63" s="20"/>
      <c r="UN63" s="20"/>
      <c r="UO63" s="20"/>
      <c r="UP63" s="20"/>
      <c r="UQ63" s="20"/>
      <c r="UR63" s="20"/>
      <c r="US63" s="20"/>
      <c r="UT63" s="20"/>
      <c r="UU63" s="20"/>
      <c r="UV63" s="20"/>
      <c r="UW63" s="20"/>
      <c r="UX63" s="20"/>
      <c r="UY63" s="20"/>
      <c r="UZ63" s="20"/>
      <c r="VA63" s="20"/>
      <c r="VB63" s="20"/>
      <c r="VC63" s="20"/>
      <c r="VD63" s="20"/>
      <c r="VE63" s="20"/>
      <c r="VF63" s="20"/>
      <c r="VG63" s="20"/>
      <c r="VH63" s="20"/>
      <c r="VI63" s="20"/>
      <c r="VJ63" s="20"/>
      <c r="VK63" s="20"/>
      <c r="VL63" s="20"/>
      <c r="VM63" s="20"/>
      <c r="VN63" s="20"/>
      <c r="VO63" s="20"/>
      <c r="VP63" s="20"/>
      <c r="VQ63" s="20"/>
      <c r="VR63" s="20"/>
      <c r="VS63" s="20"/>
      <c r="VT63" s="20"/>
      <c r="VU63" s="20"/>
      <c r="VV63" s="20"/>
      <c r="VW63" s="20"/>
      <c r="VX63" s="20"/>
      <c r="VY63" s="20"/>
      <c r="VZ63" s="20"/>
      <c r="WA63" s="20"/>
      <c r="WB63" s="20"/>
      <c r="WC63" s="20"/>
      <c r="WD63" s="20"/>
      <c r="WE63" s="20"/>
      <c r="WF63" s="20"/>
      <c r="WG63" s="20"/>
      <c r="WH63" s="20"/>
      <c r="WI63" s="20"/>
      <c r="WJ63" s="20"/>
      <c r="WK63" s="20"/>
      <c r="WL63" s="20"/>
      <c r="WM63" s="20"/>
      <c r="WN63" s="20"/>
      <c r="WO63" s="20"/>
      <c r="WP63" s="20"/>
      <c r="WQ63" s="20"/>
      <c r="WR63" s="20"/>
      <c r="WS63" s="20"/>
      <c r="WT63" s="20"/>
      <c r="WU63" s="20"/>
      <c r="WV63" s="20"/>
      <c r="WW63" s="20"/>
      <c r="WX63" s="20"/>
      <c r="WY63" s="20"/>
      <c r="WZ63" s="20"/>
      <c r="XA63" s="20"/>
      <c r="XB63" s="20"/>
      <c r="XC63" s="20"/>
      <c r="XD63" s="20"/>
      <c r="XE63" s="20"/>
      <c r="XF63" s="20"/>
      <c r="XG63" s="20"/>
      <c r="XH63" s="20"/>
      <c r="XI63" s="20"/>
      <c r="XJ63" s="20"/>
      <c r="XK63" s="20"/>
      <c r="XL63" s="20"/>
      <c r="XM63" s="20"/>
      <c r="XN63" s="20"/>
      <c r="XO63" s="20"/>
      <c r="XP63" s="20"/>
      <c r="XQ63" s="20"/>
      <c r="XR63" s="20"/>
      <c r="XS63" s="20"/>
      <c r="XT63" s="20"/>
      <c r="XU63" s="20"/>
      <c r="XV63" s="20"/>
      <c r="XW63" s="20"/>
      <c r="XX63" s="20"/>
      <c r="XY63" s="20"/>
      <c r="XZ63" s="20"/>
      <c r="YA63" s="20"/>
      <c r="YB63" s="20"/>
      <c r="YC63" s="20"/>
      <c r="YD63" s="20"/>
      <c r="YE63" s="20"/>
      <c r="YF63" s="20"/>
      <c r="YG63" s="20"/>
      <c r="YH63" s="20"/>
      <c r="YI63" s="20"/>
      <c r="YJ63" s="20"/>
      <c r="YK63" s="20"/>
      <c r="YL63" s="20"/>
      <c r="YM63" s="20"/>
      <c r="YN63" s="20"/>
      <c r="YO63" s="20"/>
      <c r="YP63" s="20"/>
      <c r="YQ63" s="20"/>
      <c r="YR63" s="20"/>
      <c r="YS63" s="20"/>
      <c r="YT63" s="20"/>
      <c r="YU63" s="20"/>
      <c r="YV63" s="20"/>
      <c r="YW63" s="20"/>
      <c r="YX63" s="20"/>
      <c r="YY63" s="20"/>
      <c r="YZ63" s="20"/>
      <c r="ZA63" s="20"/>
      <c r="ZB63" s="20"/>
      <c r="ZC63" s="20"/>
      <c r="ZD63" s="20"/>
      <c r="ZE63" s="20"/>
      <c r="ZF63" s="20"/>
      <c r="ZG63" s="20"/>
      <c r="ZH63" s="20"/>
      <c r="ZI63" s="20"/>
      <c r="ZJ63" s="20"/>
      <c r="ZK63" s="20"/>
      <c r="ZL63" s="20"/>
      <c r="ZM63" s="20"/>
      <c r="ZN63" s="20"/>
      <c r="ZO63" s="20"/>
      <c r="ZP63" s="20"/>
      <c r="ZQ63" s="20"/>
      <c r="ZR63" s="20"/>
      <c r="ZS63" s="20"/>
      <c r="ZT63" s="20"/>
      <c r="ZU63" s="20"/>
      <c r="ZV63" s="20"/>
      <c r="ZW63" s="20"/>
      <c r="ZX63" s="20"/>
      <c r="ZY63" s="20"/>
      <c r="ZZ63" s="20"/>
      <c r="AAA63" s="20"/>
      <c r="AAB63" s="20"/>
      <c r="AAC63" s="20"/>
      <c r="AAD63" s="20"/>
      <c r="AAE63" s="20"/>
      <c r="AAF63" s="20"/>
      <c r="AAG63" s="20"/>
      <c r="AAH63" s="20"/>
      <c r="AAI63" s="20"/>
      <c r="AAJ63" s="20"/>
      <c r="AAK63" s="20"/>
      <c r="AAL63" s="20"/>
      <c r="AAM63" s="20"/>
      <c r="AAN63" s="20"/>
      <c r="AAO63" s="20"/>
      <c r="AAP63" s="20"/>
      <c r="AAQ63" s="20"/>
      <c r="AAR63" s="20"/>
      <c r="AAS63" s="20"/>
      <c r="AAT63" s="20"/>
      <c r="AAU63" s="20"/>
      <c r="AAV63" s="20"/>
      <c r="AAW63" s="20"/>
      <c r="AAX63" s="20"/>
      <c r="AAY63" s="20"/>
      <c r="AAZ63" s="20"/>
      <c r="ABA63" s="20"/>
      <c r="ABB63" s="20"/>
      <c r="ABC63" s="20"/>
      <c r="ABD63" s="20"/>
      <c r="ABE63" s="20"/>
      <c r="ABF63" s="20"/>
      <c r="ABG63" s="20"/>
      <c r="ABH63" s="20"/>
      <c r="ABI63" s="20"/>
      <c r="ABJ63" s="20"/>
      <c r="ABK63" s="20"/>
      <c r="ABL63" s="20"/>
      <c r="ABM63" s="20"/>
      <c r="ABN63" s="20"/>
      <c r="ABO63" s="20"/>
      <c r="ABP63" s="20"/>
      <c r="ABQ63" s="20"/>
      <c r="ABR63" s="20"/>
      <c r="ABS63" s="20"/>
      <c r="ABT63" s="20"/>
      <c r="ABU63" s="20"/>
      <c r="ABV63" s="20"/>
      <c r="ABW63" s="20"/>
      <c r="ABX63" s="20"/>
      <c r="ABY63" s="20"/>
      <c r="ABZ63" s="20"/>
      <c r="ACA63" s="20"/>
      <c r="ACB63" s="20"/>
      <c r="ACC63" s="20"/>
      <c r="ACD63" s="20"/>
      <c r="ACE63" s="20"/>
      <c r="ACF63" s="20"/>
      <c r="ACG63" s="20"/>
      <c r="ACH63" s="20"/>
      <c r="ACI63" s="20"/>
      <c r="ACJ63" s="20"/>
      <c r="ACK63" s="20"/>
      <c r="ACL63" s="20"/>
      <c r="ACM63" s="20"/>
      <c r="ACN63" s="20"/>
      <c r="ACO63" s="20"/>
      <c r="ACP63" s="20"/>
      <c r="ACQ63" s="20"/>
    </row>
    <row r="64" spans="1:771" s="62" customFormat="1" ht="186.95">
      <c r="A64" s="57"/>
      <c r="B64" s="61" t="s">
        <v>324</v>
      </c>
      <c r="D64" s="61" t="s">
        <v>305</v>
      </c>
      <c r="F64" s="63" t="s">
        <v>254</v>
      </c>
      <c r="H64" s="61" t="s">
        <v>298</v>
      </c>
      <c r="J64" s="61" t="s">
        <v>306</v>
      </c>
      <c r="L64" s="61" t="s">
        <v>74</v>
      </c>
      <c r="N64" s="61" t="s">
        <v>178</v>
      </c>
      <c r="P64" s="61" t="s">
        <v>307</v>
      </c>
      <c r="R64" s="64" t="s">
        <v>325</v>
      </c>
      <c r="T64" s="70" t="s">
        <v>265</v>
      </c>
      <c r="U64" s="66"/>
      <c r="V64" s="67" t="s">
        <v>79</v>
      </c>
      <c r="W64" s="68"/>
      <c r="X64" s="67" t="s">
        <v>80</v>
      </c>
      <c r="Y64" s="68"/>
      <c r="Z64" s="67" t="s">
        <v>80</v>
      </c>
      <c r="AA64" s="68"/>
      <c r="AB64" s="63" t="s">
        <v>92</v>
      </c>
      <c r="AD64" s="63" t="s">
        <v>309</v>
      </c>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c r="IX64" s="20"/>
      <c r="IY64" s="20"/>
      <c r="IZ64" s="20"/>
      <c r="JA64" s="20"/>
      <c r="JB64" s="20"/>
      <c r="JC64" s="20"/>
      <c r="JD64" s="20"/>
      <c r="JE64" s="20"/>
      <c r="JF64" s="20"/>
      <c r="JG64" s="20"/>
      <c r="JH64" s="20"/>
      <c r="JI64" s="20"/>
      <c r="JJ64" s="20"/>
      <c r="JK64" s="20"/>
      <c r="JL64" s="20"/>
      <c r="JM64" s="20"/>
      <c r="JN64" s="20"/>
      <c r="JO64" s="20"/>
      <c r="JP64" s="20"/>
      <c r="JQ64" s="20"/>
      <c r="JR64" s="20"/>
      <c r="JS64" s="20"/>
      <c r="JT64" s="20"/>
      <c r="JU64" s="20"/>
      <c r="JV64" s="20"/>
      <c r="JW64" s="20"/>
      <c r="JX64" s="20"/>
      <c r="JY64" s="20"/>
      <c r="JZ64" s="20"/>
      <c r="KA64" s="20"/>
      <c r="KB64" s="20"/>
      <c r="KC64" s="20"/>
      <c r="KD64" s="20"/>
      <c r="KE64" s="20"/>
      <c r="KF64" s="20"/>
      <c r="KG64" s="20"/>
      <c r="KH64" s="20"/>
      <c r="KI64" s="20"/>
      <c r="KJ64" s="20"/>
      <c r="KK64" s="20"/>
      <c r="KL64" s="20"/>
      <c r="KM64" s="20"/>
      <c r="KN64" s="20"/>
      <c r="KO64" s="20"/>
      <c r="KP64" s="20"/>
      <c r="KQ64" s="20"/>
      <c r="KR64" s="20"/>
      <c r="KS64" s="20"/>
      <c r="KT64" s="20"/>
      <c r="KU64" s="20"/>
      <c r="KV64" s="20"/>
      <c r="KW64" s="20"/>
      <c r="KX64" s="20"/>
      <c r="KY64" s="20"/>
      <c r="KZ64" s="20"/>
      <c r="LA64" s="20"/>
      <c r="LB64" s="20"/>
      <c r="LC64" s="20"/>
      <c r="LD64" s="20"/>
      <c r="LE64" s="20"/>
      <c r="LF64" s="20"/>
      <c r="LG64" s="20"/>
      <c r="LH64" s="20"/>
      <c r="LI64" s="20"/>
      <c r="LJ64" s="20"/>
      <c r="LK64" s="20"/>
      <c r="LL64" s="20"/>
      <c r="LM64" s="20"/>
      <c r="LN64" s="20"/>
      <c r="LO64" s="20"/>
      <c r="LP64" s="20"/>
      <c r="LQ64" s="20"/>
      <c r="LR64" s="20"/>
      <c r="LS64" s="20"/>
      <c r="LT64" s="20"/>
      <c r="LU64" s="20"/>
      <c r="LV64" s="20"/>
      <c r="LW64" s="20"/>
      <c r="LX64" s="20"/>
      <c r="LY64" s="20"/>
      <c r="LZ64" s="20"/>
      <c r="MA64" s="20"/>
      <c r="MB64" s="20"/>
      <c r="MC64" s="20"/>
      <c r="MD64" s="20"/>
      <c r="ME64" s="20"/>
      <c r="MF64" s="20"/>
      <c r="MG64" s="20"/>
      <c r="MH64" s="20"/>
      <c r="MI64" s="20"/>
      <c r="MJ64" s="20"/>
      <c r="MK64" s="20"/>
      <c r="ML64" s="20"/>
      <c r="MM64" s="20"/>
      <c r="MN64" s="20"/>
      <c r="MO64" s="20"/>
      <c r="MP64" s="20"/>
      <c r="MQ64" s="20"/>
      <c r="MR64" s="20"/>
      <c r="MS64" s="20"/>
      <c r="MT64" s="20"/>
      <c r="MU64" s="20"/>
      <c r="MV64" s="20"/>
      <c r="MW64" s="20"/>
      <c r="MX64" s="20"/>
      <c r="MY64" s="20"/>
      <c r="MZ64" s="20"/>
      <c r="NA64" s="20"/>
      <c r="NB64" s="20"/>
      <c r="NC64" s="20"/>
      <c r="ND64" s="20"/>
      <c r="NE64" s="20"/>
      <c r="NF64" s="20"/>
      <c r="NG64" s="20"/>
      <c r="NH64" s="20"/>
      <c r="NI64" s="20"/>
      <c r="NJ64" s="20"/>
      <c r="NK64" s="20"/>
      <c r="NL64" s="20"/>
      <c r="NM64" s="20"/>
      <c r="NN64" s="20"/>
      <c r="NO64" s="20"/>
      <c r="NP64" s="20"/>
      <c r="NQ64" s="20"/>
      <c r="NR64" s="20"/>
      <c r="NS64" s="20"/>
      <c r="NT64" s="20"/>
      <c r="NU64" s="20"/>
      <c r="NV64" s="20"/>
      <c r="NW64" s="20"/>
      <c r="NX64" s="20"/>
      <c r="NY64" s="20"/>
      <c r="NZ64" s="20"/>
      <c r="OA64" s="20"/>
      <c r="OB64" s="20"/>
      <c r="OC64" s="20"/>
      <c r="OD64" s="20"/>
      <c r="OE64" s="20"/>
      <c r="OF64" s="20"/>
      <c r="OG64" s="20"/>
      <c r="OH64" s="20"/>
      <c r="OI64" s="20"/>
      <c r="OJ64" s="20"/>
      <c r="OK64" s="20"/>
      <c r="OL64" s="20"/>
      <c r="OM64" s="20"/>
      <c r="ON64" s="20"/>
      <c r="OO64" s="20"/>
      <c r="OP64" s="20"/>
      <c r="OQ64" s="20"/>
      <c r="OR64" s="20"/>
      <c r="OS64" s="20"/>
      <c r="OT64" s="20"/>
      <c r="OU64" s="20"/>
      <c r="OV64" s="20"/>
      <c r="OW64" s="20"/>
      <c r="OX64" s="20"/>
      <c r="OY64" s="20"/>
      <c r="OZ64" s="20"/>
      <c r="PA64" s="20"/>
      <c r="PB64" s="20"/>
      <c r="PC64" s="20"/>
      <c r="PD64" s="20"/>
      <c r="PE64" s="20"/>
      <c r="PF64" s="20"/>
      <c r="PG64" s="20"/>
      <c r="PH64" s="20"/>
      <c r="PI64" s="20"/>
      <c r="PJ64" s="20"/>
      <c r="PK64" s="20"/>
      <c r="PL64" s="20"/>
      <c r="PM64" s="20"/>
      <c r="PN64" s="20"/>
      <c r="PO64" s="20"/>
      <c r="PP64" s="20"/>
      <c r="PQ64" s="20"/>
      <c r="PR64" s="20"/>
      <c r="PS64" s="20"/>
      <c r="PT64" s="20"/>
      <c r="PU64" s="20"/>
      <c r="PV64" s="20"/>
      <c r="PW64" s="20"/>
      <c r="PX64" s="20"/>
      <c r="PY64" s="20"/>
      <c r="PZ64" s="20"/>
      <c r="QA64" s="20"/>
      <c r="QB64" s="20"/>
      <c r="QC64" s="20"/>
      <c r="QD64" s="20"/>
      <c r="QE64" s="20"/>
      <c r="QF64" s="20"/>
      <c r="QG64" s="20"/>
      <c r="QH64" s="20"/>
      <c r="QI64" s="20"/>
      <c r="QJ64" s="20"/>
      <c r="QK64" s="20"/>
      <c r="QL64" s="20"/>
      <c r="QM64" s="20"/>
      <c r="QN64" s="20"/>
      <c r="QO64" s="20"/>
      <c r="QP64" s="20"/>
      <c r="QQ64" s="20"/>
      <c r="QR64" s="20"/>
      <c r="QS64" s="20"/>
      <c r="QT64" s="20"/>
      <c r="QU64" s="20"/>
      <c r="QV64" s="20"/>
      <c r="QW64" s="20"/>
      <c r="QX64" s="20"/>
      <c r="QY64" s="20"/>
      <c r="QZ64" s="20"/>
      <c r="RA64" s="20"/>
      <c r="RB64" s="20"/>
      <c r="RC64" s="20"/>
      <c r="RD64" s="20"/>
      <c r="RE64" s="20"/>
      <c r="RF64" s="20"/>
      <c r="RG64" s="20"/>
      <c r="RH64" s="20"/>
      <c r="RI64" s="20"/>
      <c r="RJ64" s="20"/>
      <c r="RK64" s="20"/>
      <c r="RL64" s="20"/>
      <c r="RM64" s="20"/>
      <c r="RN64" s="20"/>
      <c r="RO64" s="20"/>
      <c r="RP64" s="20"/>
      <c r="RQ64" s="20"/>
      <c r="RR64" s="20"/>
      <c r="RS64" s="20"/>
      <c r="RT64" s="20"/>
      <c r="RU64" s="20"/>
      <c r="RV64" s="20"/>
      <c r="RW64" s="20"/>
      <c r="RX64" s="20"/>
      <c r="RY64" s="20"/>
      <c r="RZ64" s="20"/>
      <c r="SA64" s="20"/>
      <c r="SB64" s="20"/>
      <c r="SC64" s="20"/>
      <c r="SD64" s="20"/>
      <c r="SE64" s="20"/>
      <c r="SF64" s="20"/>
      <c r="SG64" s="20"/>
      <c r="SH64" s="20"/>
      <c r="SI64" s="20"/>
      <c r="SJ64" s="20"/>
      <c r="SK64" s="20"/>
      <c r="SL64" s="20"/>
      <c r="SM64" s="20"/>
      <c r="SN64" s="20"/>
      <c r="SO64" s="20"/>
      <c r="SP64" s="20"/>
      <c r="SQ64" s="20"/>
      <c r="SR64" s="20"/>
      <c r="SS64" s="20"/>
      <c r="ST64" s="20"/>
      <c r="SU64" s="20"/>
      <c r="SV64" s="20"/>
      <c r="SW64" s="20"/>
      <c r="SX64" s="20"/>
      <c r="SY64" s="20"/>
      <c r="SZ64" s="20"/>
      <c r="TA64" s="20"/>
      <c r="TB64" s="20"/>
      <c r="TC64" s="20"/>
      <c r="TD64" s="20"/>
      <c r="TE64" s="20"/>
      <c r="TF64" s="20"/>
      <c r="TG64" s="20"/>
      <c r="TH64" s="20"/>
      <c r="TI64" s="20"/>
      <c r="TJ64" s="20"/>
      <c r="TK64" s="20"/>
      <c r="TL64" s="20"/>
      <c r="TM64" s="20"/>
      <c r="TN64" s="20"/>
      <c r="TO64" s="20"/>
      <c r="TP64" s="20"/>
      <c r="TQ64" s="20"/>
      <c r="TR64" s="20"/>
      <c r="TS64" s="20"/>
      <c r="TT64" s="20"/>
      <c r="TU64" s="20"/>
      <c r="TV64" s="20"/>
      <c r="TW64" s="20"/>
      <c r="TX64" s="20"/>
      <c r="TY64" s="20"/>
      <c r="TZ64" s="20"/>
      <c r="UA64" s="20"/>
      <c r="UB64" s="20"/>
      <c r="UC64" s="20"/>
      <c r="UD64" s="20"/>
      <c r="UE64" s="20"/>
      <c r="UF64" s="20"/>
      <c r="UG64" s="20"/>
      <c r="UH64" s="20"/>
      <c r="UI64" s="20"/>
      <c r="UJ64" s="20"/>
      <c r="UK64" s="20"/>
      <c r="UL64" s="20"/>
      <c r="UM64" s="20"/>
      <c r="UN64" s="20"/>
      <c r="UO64" s="20"/>
      <c r="UP64" s="20"/>
      <c r="UQ64" s="20"/>
      <c r="UR64" s="20"/>
      <c r="US64" s="20"/>
      <c r="UT64" s="20"/>
      <c r="UU64" s="20"/>
      <c r="UV64" s="20"/>
      <c r="UW64" s="20"/>
      <c r="UX64" s="20"/>
      <c r="UY64" s="20"/>
      <c r="UZ64" s="20"/>
      <c r="VA64" s="20"/>
      <c r="VB64" s="20"/>
      <c r="VC64" s="20"/>
      <c r="VD64" s="20"/>
      <c r="VE64" s="20"/>
      <c r="VF64" s="20"/>
      <c r="VG64" s="20"/>
      <c r="VH64" s="20"/>
      <c r="VI64" s="20"/>
      <c r="VJ64" s="20"/>
      <c r="VK64" s="20"/>
      <c r="VL64" s="20"/>
      <c r="VM64" s="20"/>
      <c r="VN64" s="20"/>
      <c r="VO64" s="20"/>
      <c r="VP64" s="20"/>
      <c r="VQ64" s="20"/>
      <c r="VR64" s="20"/>
      <c r="VS64" s="20"/>
      <c r="VT64" s="20"/>
      <c r="VU64" s="20"/>
      <c r="VV64" s="20"/>
      <c r="VW64" s="20"/>
      <c r="VX64" s="20"/>
      <c r="VY64" s="20"/>
      <c r="VZ64" s="20"/>
      <c r="WA64" s="20"/>
      <c r="WB64" s="20"/>
      <c r="WC64" s="20"/>
      <c r="WD64" s="20"/>
      <c r="WE64" s="20"/>
      <c r="WF64" s="20"/>
      <c r="WG64" s="20"/>
      <c r="WH64" s="20"/>
      <c r="WI64" s="20"/>
      <c r="WJ64" s="20"/>
      <c r="WK64" s="20"/>
      <c r="WL64" s="20"/>
      <c r="WM64" s="20"/>
      <c r="WN64" s="20"/>
      <c r="WO64" s="20"/>
      <c r="WP64" s="20"/>
      <c r="WQ64" s="20"/>
      <c r="WR64" s="20"/>
      <c r="WS64" s="20"/>
      <c r="WT64" s="20"/>
      <c r="WU64" s="20"/>
      <c r="WV64" s="20"/>
      <c r="WW64" s="20"/>
      <c r="WX64" s="20"/>
      <c r="WY64" s="20"/>
      <c r="WZ64" s="20"/>
      <c r="XA64" s="20"/>
      <c r="XB64" s="20"/>
      <c r="XC64" s="20"/>
      <c r="XD64" s="20"/>
      <c r="XE64" s="20"/>
      <c r="XF64" s="20"/>
      <c r="XG64" s="20"/>
      <c r="XH64" s="20"/>
      <c r="XI64" s="20"/>
      <c r="XJ64" s="20"/>
      <c r="XK64" s="20"/>
      <c r="XL64" s="20"/>
      <c r="XM64" s="20"/>
      <c r="XN64" s="20"/>
      <c r="XO64" s="20"/>
      <c r="XP64" s="20"/>
      <c r="XQ64" s="20"/>
      <c r="XR64" s="20"/>
      <c r="XS64" s="20"/>
      <c r="XT64" s="20"/>
      <c r="XU64" s="20"/>
      <c r="XV64" s="20"/>
      <c r="XW64" s="20"/>
      <c r="XX64" s="20"/>
      <c r="XY64" s="20"/>
      <c r="XZ64" s="20"/>
      <c r="YA64" s="20"/>
      <c r="YB64" s="20"/>
      <c r="YC64" s="20"/>
      <c r="YD64" s="20"/>
      <c r="YE64" s="20"/>
      <c r="YF64" s="20"/>
      <c r="YG64" s="20"/>
      <c r="YH64" s="20"/>
      <c r="YI64" s="20"/>
      <c r="YJ64" s="20"/>
      <c r="YK64" s="20"/>
      <c r="YL64" s="20"/>
      <c r="YM64" s="20"/>
      <c r="YN64" s="20"/>
      <c r="YO64" s="20"/>
      <c r="YP64" s="20"/>
      <c r="YQ64" s="20"/>
      <c r="YR64" s="20"/>
      <c r="YS64" s="20"/>
      <c r="YT64" s="20"/>
      <c r="YU64" s="20"/>
      <c r="YV64" s="20"/>
      <c r="YW64" s="20"/>
      <c r="YX64" s="20"/>
      <c r="YY64" s="20"/>
      <c r="YZ64" s="20"/>
      <c r="ZA64" s="20"/>
      <c r="ZB64" s="20"/>
      <c r="ZC64" s="20"/>
      <c r="ZD64" s="20"/>
      <c r="ZE64" s="20"/>
      <c r="ZF64" s="20"/>
      <c r="ZG64" s="20"/>
      <c r="ZH64" s="20"/>
      <c r="ZI64" s="20"/>
      <c r="ZJ64" s="20"/>
      <c r="ZK64" s="20"/>
      <c r="ZL64" s="20"/>
      <c r="ZM64" s="20"/>
      <c r="ZN64" s="20"/>
      <c r="ZO64" s="20"/>
      <c r="ZP64" s="20"/>
      <c r="ZQ64" s="20"/>
      <c r="ZR64" s="20"/>
      <c r="ZS64" s="20"/>
      <c r="ZT64" s="20"/>
      <c r="ZU64" s="20"/>
      <c r="ZV64" s="20"/>
      <c r="ZW64" s="20"/>
      <c r="ZX64" s="20"/>
      <c r="ZY64" s="20"/>
      <c r="ZZ64" s="20"/>
      <c r="AAA64" s="20"/>
      <c r="AAB64" s="20"/>
      <c r="AAC64" s="20"/>
      <c r="AAD64" s="20"/>
      <c r="AAE64" s="20"/>
      <c r="AAF64" s="20"/>
      <c r="AAG64" s="20"/>
      <c r="AAH64" s="20"/>
      <c r="AAI64" s="20"/>
      <c r="AAJ64" s="20"/>
      <c r="AAK64" s="20"/>
      <c r="AAL64" s="20"/>
      <c r="AAM64" s="20"/>
      <c r="AAN64" s="20"/>
      <c r="AAO64" s="20"/>
      <c r="AAP64" s="20"/>
      <c r="AAQ64" s="20"/>
      <c r="AAR64" s="20"/>
      <c r="AAS64" s="20"/>
      <c r="AAT64" s="20"/>
      <c r="AAU64" s="20"/>
      <c r="AAV64" s="20"/>
      <c r="AAW64" s="20"/>
      <c r="AAX64" s="20"/>
      <c r="AAY64" s="20"/>
      <c r="AAZ64" s="20"/>
      <c r="ABA64" s="20"/>
      <c r="ABB64" s="20"/>
      <c r="ABC64" s="20"/>
      <c r="ABD64" s="20"/>
      <c r="ABE64" s="20"/>
      <c r="ABF64" s="20"/>
      <c r="ABG64" s="20"/>
      <c r="ABH64" s="20"/>
      <c r="ABI64" s="20"/>
      <c r="ABJ64" s="20"/>
      <c r="ABK64" s="20"/>
      <c r="ABL64" s="20"/>
      <c r="ABM64" s="20"/>
      <c r="ABN64" s="20"/>
      <c r="ABO64" s="20"/>
      <c r="ABP64" s="20"/>
      <c r="ABQ64" s="20"/>
      <c r="ABR64" s="20"/>
      <c r="ABS64" s="20"/>
      <c r="ABT64" s="20"/>
      <c r="ABU64" s="20"/>
      <c r="ABV64" s="20"/>
      <c r="ABW64" s="20"/>
      <c r="ABX64" s="20"/>
      <c r="ABY64" s="20"/>
      <c r="ABZ64" s="20"/>
      <c r="ACA64" s="20"/>
      <c r="ACB64" s="20"/>
      <c r="ACC64" s="20"/>
      <c r="ACD64" s="20"/>
      <c r="ACE64" s="20"/>
      <c r="ACF64" s="20"/>
      <c r="ACG64" s="20"/>
      <c r="ACH64" s="20"/>
      <c r="ACI64" s="20"/>
      <c r="ACJ64" s="20"/>
      <c r="ACK64" s="20"/>
      <c r="ACL64" s="20"/>
      <c r="ACM64" s="20"/>
      <c r="ACN64" s="20"/>
      <c r="ACO64" s="20"/>
      <c r="ACP64" s="20"/>
      <c r="ACQ64" s="20"/>
    </row>
    <row r="65" spans="1:771" s="62" customFormat="1" ht="186.95">
      <c r="A65" s="57"/>
      <c r="B65" s="61" t="s">
        <v>326</v>
      </c>
      <c r="D65" s="61" t="s">
        <v>305</v>
      </c>
      <c r="F65" s="63" t="s">
        <v>254</v>
      </c>
      <c r="H65" s="61" t="s">
        <v>298</v>
      </c>
      <c r="J65" s="61" t="s">
        <v>306</v>
      </c>
      <c r="L65" s="61" t="s">
        <v>74</v>
      </c>
      <c r="N65" s="61" t="s">
        <v>178</v>
      </c>
      <c r="P65" s="61" t="s">
        <v>307</v>
      </c>
      <c r="R65" s="64" t="s">
        <v>327</v>
      </c>
      <c r="T65" s="70" t="s">
        <v>265</v>
      </c>
      <c r="U65" s="66"/>
      <c r="V65" s="67" t="s">
        <v>79</v>
      </c>
      <c r="W65" s="68"/>
      <c r="X65" s="67" t="s">
        <v>80</v>
      </c>
      <c r="Y65" s="68"/>
      <c r="Z65" s="67" t="s">
        <v>80</v>
      </c>
      <c r="AA65" s="68"/>
      <c r="AB65" s="63" t="s">
        <v>92</v>
      </c>
      <c r="AD65" s="63" t="s">
        <v>309</v>
      </c>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c r="IW65" s="20"/>
      <c r="IX65" s="20"/>
      <c r="IY65" s="20"/>
      <c r="IZ65" s="20"/>
      <c r="JA65" s="20"/>
      <c r="JB65" s="20"/>
      <c r="JC65" s="20"/>
      <c r="JD65" s="20"/>
      <c r="JE65" s="20"/>
      <c r="JF65" s="20"/>
      <c r="JG65" s="20"/>
      <c r="JH65" s="20"/>
      <c r="JI65" s="20"/>
      <c r="JJ65" s="20"/>
      <c r="JK65" s="20"/>
      <c r="JL65" s="20"/>
      <c r="JM65" s="20"/>
      <c r="JN65" s="20"/>
      <c r="JO65" s="20"/>
      <c r="JP65" s="20"/>
      <c r="JQ65" s="20"/>
      <c r="JR65" s="20"/>
      <c r="JS65" s="20"/>
      <c r="JT65" s="20"/>
      <c r="JU65" s="20"/>
      <c r="JV65" s="20"/>
      <c r="JW65" s="20"/>
      <c r="JX65" s="20"/>
      <c r="JY65" s="20"/>
      <c r="JZ65" s="20"/>
      <c r="KA65" s="20"/>
      <c r="KB65" s="20"/>
      <c r="KC65" s="20"/>
      <c r="KD65" s="20"/>
      <c r="KE65" s="20"/>
      <c r="KF65" s="20"/>
      <c r="KG65" s="20"/>
      <c r="KH65" s="20"/>
      <c r="KI65" s="20"/>
      <c r="KJ65" s="20"/>
      <c r="KK65" s="20"/>
      <c r="KL65" s="20"/>
      <c r="KM65" s="20"/>
      <c r="KN65" s="20"/>
      <c r="KO65" s="20"/>
      <c r="KP65" s="20"/>
      <c r="KQ65" s="20"/>
      <c r="KR65" s="20"/>
      <c r="KS65" s="20"/>
      <c r="KT65" s="20"/>
      <c r="KU65" s="20"/>
      <c r="KV65" s="20"/>
      <c r="KW65" s="20"/>
      <c r="KX65" s="20"/>
      <c r="KY65" s="20"/>
      <c r="KZ65" s="20"/>
      <c r="LA65" s="20"/>
      <c r="LB65" s="20"/>
      <c r="LC65" s="20"/>
      <c r="LD65" s="20"/>
      <c r="LE65" s="20"/>
      <c r="LF65" s="20"/>
      <c r="LG65" s="20"/>
      <c r="LH65" s="20"/>
      <c r="LI65" s="20"/>
      <c r="LJ65" s="20"/>
      <c r="LK65" s="20"/>
      <c r="LL65" s="20"/>
      <c r="LM65" s="20"/>
      <c r="LN65" s="20"/>
      <c r="LO65" s="20"/>
      <c r="LP65" s="20"/>
      <c r="LQ65" s="20"/>
      <c r="LR65" s="20"/>
      <c r="LS65" s="20"/>
      <c r="LT65" s="20"/>
      <c r="LU65" s="20"/>
      <c r="LV65" s="20"/>
      <c r="LW65" s="20"/>
      <c r="LX65" s="20"/>
      <c r="LY65" s="20"/>
      <c r="LZ65" s="20"/>
      <c r="MA65" s="20"/>
      <c r="MB65" s="20"/>
      <c r="MC65" s="20"/>
      <c r="MD65" s="20"/>
      <c r="ME65" s="20"/>
      <c r="MF65" s="20"/>
      <c r="MG65" s="20"/>
      <c r="MH65" s="20"/>
      <c r="MI65" s="20"/>
      <c r="MJ65" s="20"/>
      <c r="MK65" s="20"/>
      <c r="ML65" s="20"/>
      <c r="MM65" s="20"/>
      <c r="MN65" s="20"/>
      <c r="MO65" s="20"/>
      <c r="MP65" s="20"/>
      <c r="MQ65" s="20"/>
      <c r="MR65" s="20"/>
      <c r="MS65" s="20"/>
      <c r="MT65" s="20"/>
      <c r="MU65" s="20"/>
      <c r="MV65" s="20"/>
      <c r="MW65" s="20"/>
      <c r="MX65" s="20"/>
      <c r="MY65" s="20"/>
      <c r="MZ65" s="20"/>
      <c r="NA65" s="20"/>
      <c r="NB65" s="20"/>
      <c r="NC65" s="20"/>
      <c r="ND65" s="20"/>
      <c r="NE65" s="20"/>
      <c r="NF65" s="20"/>
      <c r="NG65" s="20"/>
      <c r="NH65" s="20"/>
      <c r="NI65" s="20"/>
      <c r="NJ65" s="20"/>
      <c r="NK65" s="20"/>
      <c r="NL65" s="20"/>
      <c r="NM65" s="20"/>
      <c r="NN65" s="20"/>
      <c r="NO65" s="20"/>
      <c r="NP65" s="20"/>
      <c r="NQ65" s="20"/>
      <c r="NR65" s="20"/>
      <c r="NS65" s="20"/>
      <c r="NT65" s="20"/>
      <c r="NU65" s="20"/>
      <c r="NV65" s="20"/>
      <c r="NW65" s="20"/>
      <c r="NX65" s="20"/>
      <c r="NY65" s="20"/>
      <c r="NZ65" s="20"/>
      <c r="OA65" s="20"/>
      <c r="OB65" s="20"/>
      <c r="OC65" s="20"/>
      <c r="OD65" s="20"/>
      <c r="OE65" s="20"/>
      <c r="OF65" s="20"/>
      <c r="OG65" s="20"/>
      <c r="OH65" s="20"/>
      <c r="OI65" s="20"/>
      <c r="OJ65" s="20"/>
      <c r="OK65" s="20"/>
      <c r="OL65" s="20"/>
      <c r="OM65" s="20"/>
      <c r="ON65" s="20"/>
      <c r="OO65" s="20"/>
      <c r="OP65" s="20"/>
      <c r="OQ65" s="20"/>
      <c r="OR65" s="20"/>
      <c r="OS65" s="20"/>
      <c r="OT65" s="20"/>
      <c r="OU65" s="20"/>
      <c r="OV65" s="20"/>
      <c r="OW65" s="20"/>
      <c r="OX65" s="20"/>
      <c r="OY65" s="20"/>
      <c r="OZ65" s="20"/>
      <c r="PA65" s="20"/>
      <c r="PB65" s="20"/>
      <c r="PC65" s="20"/>
      <c r="PD65" s="20"/>
      <c r="PE65" s="20"/>
      <c r="PF65" s="20"/>
      <c r="PG65" s="20"/>
      <c r="PH65" s="20"/>
      <c r="PI65" s="20"/>
      <c r="PJ65" s="20"/>
      <c r="PK65" s="20"/>
      <c r="PL65" s="20"/>
      <c r="PM65" s="20"/>
      <c r="PN65" s="20"/>
      <c r="PO65" s="20"/>
      <c r="PP65" s="20"/>
      <c r="PQ65" s="20"/>
      <c r="PR65" s="20"/>
      <c r="PS65" s="20"/>
      <c r="PT65" s="20"/>
      <c r="PU65" s="20"/>
      <c r="PV65" s="20"/>
      <c r="PW65" s="20"/>
      <c r="PX65" s="20"/>
      <c r="PY65" s="20"/>
      <c r="PZ65" s="20"/>
      <c r="QA65" s="20"/>
      <c r="QB65" s="20"/>
      <c r="QC65" s="20"/>
      <c r="QD65" s="20"/>
      <c r="QE65" s="20"/>
      <c r="QF65" s="20"/>
      <c r="QG65" s="20"/>
      <c r="QH65" s="20"/>
      <c r="QI65" s="20"/>
      <c r="QJ65" s="20"/>
      <c r="QK65" s="20"/>
      <c r="QL65" s="20"/>
      <c r="QM65" s="20"/>
      <c r="QN65" s="20"/>
      <c r="QO65" s="20"/>
      <c r="QP65" s="20"/>
      <c r="QQ65" s="20"/>
      <c r="QR65" s="20"/>
      <c r="QS65" s="20"/>
      <c r="QT65" s="20"/>
      <c r="QU65" s="20"/>
      <c r="QV65" s="20"/>
      <c r="QW65" s="20"/>
      <c r="QX65" s="20"/>
      <c r="QY65" s="20"/>
      <c r="QZ65" s="20"/>
      <c r="RA65" s="20"/>
      <c r="RB65" s="20"/>
      <c r="RC65" s="20"/>
      <c r="RD65" s="20"/>
      <c r="RE65" s="20"/>
      <c r="RF65" s="20"/>
      <c r="RG65" s="20"/>
      <c r="RH65" s="20"/>
      <c r="RI65" s="20"/>
      <c r="RJ65" s="20"/>
      <c r="RK65" s="20"/>
      <c r="RL65" s="20"/>
      <c r="RM65" s="20"/>
      <c r="RN65" s="20"/>
      <c r="RO65" s="20"/>
      <c r="RP65" s="20"/>
      <c r="RQ65" s="20"/>
      <c r="RR65" s="20"/>
      <c r="RS65" s="20"/>
      <c r="RT65" s="20"/>
      <c r="RU65" s="20"/>
      <c r="RV65" s="20"/>
      <c r="RW65" s="20"/>
      <c r="RX65" s="20"/>
      <c r="RY65" s="20"/>
      <c r="RZ65" s="20"/>
      <c r="SA65" s="20"/>
      <c r="SB65" s="20"/>
      <c r="SC65" s="20"/>
      <c r="SD65" s="20"/>
      <c r="SE65" s="20"/>
      <c r="SF65" s="20"/>
      <c r="SG65" s="20"/>
      <c r="SH65" s="20"/>
      <c r="SI65" s="20"/>
      <c r="SJ65" s="20"/>
      <c r="SK65" s="20"/>
      <c r="SL65" s="20"/>
      <c r="SM65" s="20"/>
      <c r="SN65" s="20"/>
      <c r="SO65" s="20"/>
      <c r="SP65" s="20"/>
      <c r="SQ65" s="20"/>
      <c r="SR65" s="20"/>
      <c r="SS65" s="20"/>
      <c r="ST65" s="20"/>
      <c r="SU65" s="20"/>
      <c r="SV65" s="20"/>
      <c r="SW65" s="20"/>
      <c r="SX65" s="20"/>
      <c r="SY65" s="20"/>
      <c r="SZ65" s="20"/>
      <c r="TA65" s="20"/>
      <c r="TB65" s="20"/>
      <c r="TC65" s="20"/>
      <c r="TD65" s="20"/>
      <c r="TE65" s="20"/>
      <c r="TF65" s="20"/>
      <c r="TG65" s="20"/>
      <c r="TH65" s="20"/>
      <c r="TI65" s="20"/>
      <c r="TJ65" s="20"/>
      <c r="TK65" s="20"/>
      <c r="TL65" s="20"/>
      <c r="TM65" s="20"/>
      <c r="TN65" s="20"/>
      <c r="TO65" s="20"/>
      <c r="TP65" s="20"/>
      <c r="TQ65" s="20"/>
      <c r="TR65" s="20"/>
      <c r="TS65" s="20"/>
      <c r="TT65" s="20"/>
      <c r="TU65" s="20"/>
      <c r="TV65" s="20"/>
      <c r="TW65" s="20"/>
      <c r="TX65" s="20"/>
      <c r="TY65" s="20"/>
      <c r="TZ65" s="20"/>
      <c r="UA65" s="20"/>
      <c r="UB65" s="20"/>
      <c r="UC65" s="20"/>
      <c r="UD65" s="20"/>
      <c r="UE65" s="20"/>
      <c r="UF65" s="20"/>
      <c r="UG65" s="20"/>
      <c r="UH65" s="20"/>
      <c r="UI65" s="20"/>
      <c r="UJ65" s="20"/>
      <c r="UK65" s="20"/>
      <c r="UL65" s="20"/>
      <c r="UM65" s="20"/>
      <c r="UN65" s="20"/>
      <c r="UO65" s="20"/>
      <c r="UP65" s="20"/>
      <c r="UQ65" s="20"/>
      <c r="UR65" s="20"/>
      <c r="US65" s="20"/>
      <c r="UT65" s="20"/>
      <c r="UU65" s="20"/>
      <c r="UV65" s="20"/>
      <c r="UW65" s="20"/>
      <c r="UX65" s="20"/>
      <c r="UY65" s="20"/>
      <c r="UZ65" s="20"/>
      <c r="VA65" s="20"/>
      <c r="VB65" s="20"/>
      <c r="VC65" s="20"/>
      <c r="VD65" s="20"/>
      <c r="VE65" s="20"/>
      <c r="VF65" s="20"/>
      <c r="VG65" s="20"/>
      <c r="VH65" s="20"/>
      <c r="VI65" s="20"/>
      <c r="VJ65" s="20"/>
      <c r="VK65" s="20"/>
      <c r="VL65" s="20"/>
      <c r="VM65" s="20"/>
      <c r="VN65" s="20"/>
      <c r="VO65" s="20"/>
      <c r="VP65" s="20"/>
      <c r="VQ65" s="20"/>
      <c r="VR65" s="20"/>
      <c r="VS65" s="20"/>
      <c r="VT65" s="20"/>
      <c r="VU65" s="20"/>
      <c r="VV65" s="20"/>
      <c r="VW65" s="20"/>
      <c r="VX65" s="20"/>
      <c r="VY65" s="20"/>
      <c r="VZ65" s="20"/>
      <c r="WA65" s="20"/>
      <c r="WB65" s="20"/>
      <c r="WC65" s="20"/>
      <c r="WD65" s="20"/>
      <c r="WE65" s="20"/>
      <c r="WF65" s="20"/>
      <c r="WG65" s="20"/>
      <c r="WH65" s="20"/>
      <c r="WI65" s="20"/>
      <c r="WJ65" s="20"/>
      <c r="WK65" s="20"/>
      <c r="WL65" s="20"/>
      <c r="WM65" s="20"/>
      <c r="WN65" s="20"/>
      <c r="WO65" s="20"/>
      <c r="WP65" s="20"/>
      <c r="WQ65" s="20"/>
      <c r="WR65" s="20"/>
      <c r="WS65" s="20"/>
      <c r="WT65" s="20"/>
      <c r="WU65" s="20"/>
      <c r="WV65" s="20"/>
      <c r="WW65" s="20"/>
      <c r="WX65" s="20"/>
      <c r="WY65" s="20"/>
      <c r="WZ65" s="20"/>
      <c r="XA65" s="20"/>
      <c r="XB65" s="20"/>
      <c r="XC65" s="20"/>
      <c r="XD65" s="20"/>
      <c r="XE65" s="20"/>
      <c r="XF65" s="20"/>
      <c r="XG65" s="20"/>
      <c r="XH65" s="20"/>
      <c r="XI65" s="20"/>
      <c r="XJ65" s="20"/>
      <c r="XK65" s="20"/>
      <c r="XL65" s="20"/>
      <c r="XM65" s="20"/>
      <c r="XN65" s="20"/>
      <c r="XO65" s="20"/>
      <c r="XP65" s="20"/>
      <c r="XQ65" s="20"/>
      <c r="XR65" s="20"/>
      <c r="XS65" s="20"/>
      <c r="XT65" s="20"/>
      <c r="XU65" s="20"/>
      <c r="XV65" s="20"/>
      <c r="XW65" s="20"/>
      <c r="XX65" s="20"/>
      <c r="XY65" s="20"/>
      <c r="XZ65" s="20"/>
      <c r="YA65" s="20"/>
      <c r="YB65" s="20"/>
      <c r="YC65" s="20"/>
      <c r="YD65" s="20"/>
      <c r="YE65" s="20"/>
      <c r="YF65" s="20"/>
      <c r="YG65" s="20"/>
      <c r="YH65" s="20"/>
      <c r="YI65" s="20"/>
      <c r="YJ65" s="20"/>
      <c r="YK65" s="20"/>
      <c r="YL65" s="20"/>
      <c r="YM65" s="20"/>
      <c r="YN65" s="20"/>
      <c r="YO65" s="20"/>
      <c r="YP65" s="20"/>
      <c r="YQ65" s="20"/>
      <c r="YR65" s="20"/>
      <c r="YS65" s="20"/>
      <c r="YT65" s="20"/>
      <c r="YU65" s="20"/>
      <c r="YV65" s="20"/>
      <c r="YW65" s="20"/>
      <c r="YX65" s="20"/>
      <c r="YY65" s="20"/>
      <c r="YZ65" s="20"/>
      <c r="ZA65" s="20"/>
      <c r="ZB65" s="20"/>
      <c r="ZC65" s="20"/>
      <c r="ZD65" s="20"/>
      <c r="ZE65" s="20"/>
      <c r="ZF65" s="20"/>
      <c r="ZG65" s="20"/>
      <c r="ZH65" s="20"/>
      <c r="ZI65" s="20"/>
      <c r="ZJ65" s="20"/>
      <c r="ZK65" s="20"/>
      <c r="ZL65" s="20"/>
      <c r="ZM65" s="20"/>
      <c r="ZN65" s="20"/>
      <c r="ZO65" s="20"/>
      <c r="ZP65" s="20"/>
      <c r="ZQ65" s="20"/>
      <c r="ZR65" s="20"/>
      <c r="ZS65" s="20"/>
      <c r="ZT65" s="20"/>
      <c r="ZU65" s="20"/>
      <c r="ZV65" s="20"/>
      <c r="ZW65" s="20"/>
      <c r="ZX65" s="20"/>
      <c r="ZY65" s="20"/>
      <c r="ZZ65" s="20"/>
      <c r="AAA65" s="20"/>
      <c r="AAB65" s="20"/>
      <c r="AAC65" s="20"/>
      <c r="AAD65" s="20"/>
      <c r="AAE65" s="20"/>
      <c r="AAF65" s="20"/>
      <c r="AAG65" s="20"/>
      <c r="AAH65" s="20"/>
      <c r="AAI65" s="20"/>
      <c r="AAJ65" s="20"/>
      <c r="AAK65" s="20"/>
      <c r="AAL65" s="20"/>
      <c r="AAM65" s="20"/>
      <c r="AAN65" s="20"/>
      <c r="AAO65" s="20"/>
      <c r="AAP65" s="20"/>
      <c r="AAQ65" s="20"/>
      <c r="AAR65" s="20"/>
      <c r="AAS65" s="20"/>
      <c r="AAT65" s="20"/>
      <c r="AAU65" s="20"/>
      <c r="AAV65" s="20"/>
      <c r="AAW65" s="20"/>
      <c r="AAX65" s="20"/>
      <c r="AAY65" s="20"/>
      <c r="AAZ65" s="20"/>
      <c r="ABA65" s="20"/>
      <c r="ABB65" s="20"/>
      <c r="ABC65" s="20"/>
      <c r="ABD65" s="20"/>
      <c r="ABE65" s="20"/>
      <c r="ABF65" s="20"/>
      <c r="ABG65" s="20"/>
      <c r="ABH65" s="20"/>
      <c r="ABI65" s="20"/>
      <c r="ABJ65" s="20"/>
      <c r="ABK65" s="20"/>
      <c r="ABL65" s="20"/>
      <c r="ABM65" s="20"/>
      <c r="ABN65" s="20"/>
      <c r="ABO65" s="20"/>
      <c r="ABP65" s="20"/>
      <c r="ABQ65" s="20"/>
      <c r="ABR65" s="20"/>
      <c r="ABS65" s="20"/>
      <c r="ABT65" s="20"/>
      <c r="ABU65" s="20"/>
      <c r="ABV65" s="20"/>
      <c r="ABW65" s="20"/>
      <c r="ABX65" s="20"/>
      <c r="ABY65" s="20"/>
      <c r="ABZ65" s="20"/>
      <c r="ACA65" s="20"/>
      <c r="ACB65" s="20"/>
      <c r="ACC65" s="20"/>
      <c r="ACD65" s="20"/>
      <c r="ACE65" s="20"/>
      <c r="ACF65" s="20"/>
      <c r="ACG65" s="20"/>
      <c r="ACH65" s="20"/>
      <c r="ACI65" s="20"/>
      <c r="ACJ65" s="20"/>
      <c r="ACK65" s="20"/>
      <c r="ACL65" s="20"/>
      <c r="ACM65" s="20"/>
      <c r="ACN65" s="20"/>
      <c r="ACO65" s="20"/>
      <c r="ACP65" s="20"/>
      <c r="ACQ65" s="20"/>
    </row>
    <row r="66" spans="1:771" s="62" customFormat="1" ht="356.1">
      <c r="A66" s="57"/>
      <c r="B66" s="61" t="s">
        <v>328</v>
      </c>
      <c r="D66" s="61" t="s">
        <v>305</v>
      </c>
      <c r="F66" s="63" t="s">
        <v>254</v>
      </c>
      <c r="H66" s="61" t="s">
        <v>298</v>
      </c>
      <c r="J66" s="61" t="s">
        <v>306</v>
      </c>
      <c r="L66" s="61" t="s">
        <v>74</v>
      </c>
      <c r="N66" s="61" t="s">
        <v>178</v>
      </c>
      <c r="P66" s="61" t="s">
        <v>329</v>
      </c>
      <c r="R66" s="64" t="s">
        <v>330</v>
      </c>
      <c r="T66" s="70" t="s">
        <v>265</v>
      </c>
      <c r="U66" s="66"/>
      <c r="V66" s="67" t="s">
        <v>79</v>
      </c>
      <c r="W66" s="68"/>
      <c r="X66" s="67" t="s">
        <v>80</v>
      </c>
      <c r="Y66" s="68"/>
      <c r="Z66" s="67" t="s">
        <v>80</v>
      </c>
      <c r="AA66" s="68"/>
      <c r="AB66" s="63" t="s">
        <v>80</v>
      </c>
      <c r="AD66" s="63" t="s">
        <v>331</v>
      </c>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c r="IW66" s="20"/>
      <c r="IX66" s="20"/>
      <c r="IY66" s="20"/>
      <c r="IZ66" s="20"/>
      <c r="JA66" s="20"/>
      <c r="JB66" s="20"/>
      <c r="JC66" s="20"/>
      <c r="JD66" s="20"/>
      <c r="JE66" s="20"/>
      <c r="JF66" s="20"/>
      <c r="JG66" s="20"/>
      <c r="JH66" s="20"/>
      <c r="JI66" s="20"/>
      <c r="JJ66" s="20"/>
      <c r="JK66" s="20"/>
      <c r="JL66" s="20"/>
      <c r="JM66" s="20"/>
      <c r="JN66" s="20"/>
      <c r="JO66" s="20"/>
      <c r="JP66" s="20"/>
      <c r="JQ66" s="20"/>
      <c r="JR66" s="20"/>
      <c r="JS66" s="20"/>
      <c r="JT66" s="20"/>
      <c r="JU66" s="20"/>
      <c r="JV66" s="20"/>
      <c r="JW66" s="20"/>
      <c r="JX66" s="20"/>
      <c r="JY66" s="20"/>
      <c r="JZ66" s="20"/>
      <c r="KA66" s="20"/>
      <c r="KB66" s="20"/>
      <c r="KC66" s="20"/>
      <c r="KD66" s="20"/>
      <c r="KE66" s="20"/>
      <c r="KF66" s="20"/>
      <c r="KG66" s="20"/>
      <c r="KH66" s="20"/>
      <c r="KI66" s="20"/>
      <c r="KJ66" s="20"/>
      <c r="KK66" s="20"/>
      <c r="KL66" s="20"/>
      <c r="KM66" s="20"/>
      <c r="KN66" s="20"/>
      <c r="KO66" s="20"/>
      <c r="KP66" s="20"/>
      <c r="KQ66" s="20"/>
      <c r="KR66" s="20"/>
      <c r="KS66" s="20"/>
      <c r="KT66" s="20"/>
      <c r="KU66" s="20"/>
      <c r="KV66" s="20"/>
      <c r="KW66" s="20"/>
      <c r="KX66" s="20"/>
      <c r="KY66" s="20"/>
      <c r="KZ66" s="20"/>
      <c r="LA66" s="20"/>
      <c r="LB66" s="20"/>
      <c r="LC66" s="20"/>
      <c r="LD66" s="20"/>
      <c r="LE66" s="20"/>
      <c r="LF66" s="20"/>
      <c r="LG66" s="20"/>
      <c r="LH66" s="20"/>
      <c r="LI66" s="20"/>
      <c r="LJ66" s="20"/>
      <c r="LK66" s="20"/>
      <c r="LL66" s="20"/>
      <c r="LM66" s="20"/>
      <c r="LN66" s="20"/>
      <c r="LO66" s="20"/>
      <c r="LP66" s="20"/>
      <c r="LQ66" s="20"/>
      <c r="LR66" s="20"/>
      <c r="LS66" s="20"/>
      <c r="LT66" s="20"/>
      <c r="LU66" s="20"/>
      <c r="LV66" s="20"/>
      <c r="LW66" s="20"/>
      <c r="LX66" s="20"/>
      <c r="LY66" s="20"/>
      <c r="LZ66" s="20"/>
      <c r="MA66" s="20"/>
      <c r="MB66" s="20"/>
      <c r="MC66" s="20"/>
      <c r="MD66" s="20"/>
      <c r="ME66" s="20"/>
      <c r="MF66" s="20"/>
      <c r="MG66" s="20"/>
      <c r="MH66" s="20"/>
      <c r="MI66" s="20"/>
      <c r="MJ66" s="20"/>
      <c r="MK66" s="20"/>
      <c r="ML66" s="20"/>
      <c r="MM66" s="20"/>
      <c r="MN66" s="20"/>
      <c r="MO66" s="20"/>
      <c r="MP66" s="20"/>
      <c r="MQ66" s="20"/>
      <c r="MR66" s="20"/>
      <c r="MS66" s="20"/>
      <c r="MT66" s="20"/>
      <c r="MU66" s="20"/>
      <c r="MV66" s="20"/>
      <c r="MW66" s="20"/>
      <c r="MX66" s="20"/>
      <c r="MY66" s="20"/>
      <c r="MZ66" s="20"/>
      <c r="NA66" s="20"/>
      <c r="NB66" s="20"/>
      <c r="NC66" s="20"/>
      <c r="ND66" s="20"/>
      <c r="NE66" s="20"/>
      <c r="NF66" s="20"/>
      <c r="NG66" s="20"/>
      <c r="NH66" s="20"/>
      <c r="NI66" s="20"/>
      <c r="NJ66" s="20"/>
      <c r="NK66" s="20"/>
      <c r="NL66" s="20"/>
      <c r="NM66" s="20"/>
      <c r="NN66" s="20"/>
      <c r="NO66" s="20"/>
      <c r="NP66" s="20"/>
      <c r="NQ66" s="20"/>
      <c r="NR66" s="20"/>
      <c r="NS66" s="20"/>
      <c r="NT66" s="20"/>
      <c r="NU66" s="20"/>
      <c r="NV66" s="20"/>
      <c r="NW66" s="20"/>
      <c r="NX66" s="20"/>
      <c r="NY66" s="20"/>
      <c r="NZ66" s="20"/>
      <c r="OA66" s="20"/>
      <c r="OB66" s="20"/>
      <c r="OC66" s="20"/>
      <c r="OD66" s="20"/>
      <c r="OE66" s="20"/>
      <c r="OF66" s="20"/>
      <c r="OG66" s="20"/>
      <c r="OH66" s="20"/>
      <c r="OI66" s="20"/>
      <c r="OJ66" s="20"/>
      <c r="OK66" s="20"/>
      <c r="OL66" s="20"/>
      <c r="OM66" s="20"/>
      <c r="ON66" s="20"/>
      <c r="OO66" s="20"/>
      <c r="OP66" s="20"/>
      <c r="OQ66" s="20"/>
      <c r="OR66" s="20"/>
      <c r="OS66" s="20"/>
      <c r="OT66" s="20"/>
      <c r="OU66" s="20"/>
      <c r="OV66" s="20"/>
      <c r="OW66" s="20"/>
      <c r="OX66" s="20"/>
      <c r="OY66" s="20"/>
      <c r="OZ66" s="20"/>
      <c r="PA66" s="20"/>
      <c r="PB66" s="20"/>
      <c r="PC66" s="20"/>
      <c r="PD66" s="20"/>
      <c r="PE66" s="20"/>
      <c r="PF66" s="20"/>
      <c r="PG66" s="20"/>
      <c r="PH66" s="20"/>
      <c r="PI66" s="20"/>
      <c r="PJ66" s="20"/>
      <c r="PK66" s="20"/>
      <c r="PL66" s="20"/>
      <c r="PM66" s="20"/>
      <c r="PN66" s="20"/>
      <c r="PO66" s="20"/>
      <c r="PP66" s="20"/>
      <c r="PQ66" s="20"/>
      <c r="PR66" s="20"/>
      <c r="PS66" s="20"/>
      <c r="PT66" s="20"/>
      <c r="PU66" s="20"/>
      <c r="PV66" s="20"/>
      <c r="PW66" s="20"/>
      <c r="PX66" s="20"/>
      <c r="PY66" s="20"/>
      <c r="PZ66" s="20"/>
      <c r="QA66" s="20"/>
      <c r="QB66" s="20"/>
      <c r="QC66" s="20"/>
      <c r="QD66" s="20"/>
      <c r="QE66" s="20"/>
      <c r="QF66" s="20"/>
      <c r="QG66" s="20"/>
      <c r="QH66" s="20"/>
      <c r="QI66" s="20"/>
      <c r="QJ66" s="20"/>
      <c r="QK66" s="20"/>
      <c r="QL66" s="20"/>
      <c r="QM66" s="20"/>
      <c r="QN66" s="20"/>
      <c r="QO66" s="20"/>
      <c r="QP66" s="20"/>
      <c r="QQ66" s="20"/>
      <c r="QR66" s="20"/>
      <c r="QS66" s="20"/>
      <c r="QT66" s="20"/>
      <c r="QU66" s="20"/>
      <c r="QV66" s="20"/>
      <c r="QW66" s="20"/>
      <c r="QX66" s="20"/>
      <c r="QY66" s="20"/>
      <c r="QZ66" s="20"/>
      <c r="RA66" s="20"/>
      <c r="RB66" s="20"/>
      <c r="RC66" s="20"/>
      <c r="RD66" s="20"/>
      <c r="RE66" s="20"/>
      <c r="RF66" s="20"/>
      <c r="RG66" s="20"/>
      <c r="RH66" s="20"/>
      <c r="RI66" s="20"/>
      <c r="RJ66" s="20"/>
      <c r="RK66" s="20"/>
      <c r="RL66" s="20"/>
      <c r="RM66" s="20"/>
      <c r="RN66" s="20"/>
      <c r="RO66" s="20"/>
      <c r="RP66" s="20"/>
      <c r="RQ66" s="20"/>
      <c r="RR66" s="20"/>
      <c r="RS66" s="20"/>
      <c r="RT66" s="20"/>
      <c r="RU66" s="20"/>
      <c r="RV66" s="20"/>
      <c r="RW66" s="20"/>
      <c r="RX66" s="20"/>
      <c r="RY66" s="20"/>
      <c r="RZ66" s="20"/>
      <c r="SA66" s="20"/>
      <c r="SB66" s="20"/>
      <c r="SC66" s="20"/>
      <c r="SD66" s="20"/>
      <c r="SE66" s="20"/>
      <c r="SF66" s="20"/>
      <c r="SG66" s="20"/>
      <c r="SH66" s="20"/>
      <c r="SI66" s="20"/>
      <c r="SJ66" s="20"/>
      <c r="SK66" s="20"/>
      <c r="SL66" s="20"/>
      <c r="SM66" s="20"/>
      <c r="SN66" s="20"/>
      <c r="SO66" s="20"/>
      <c r="SP66" s="20"/>
      <c r="SQ66" s="20"/>
      <c r="SR66" s="20"/>
      <c r="SS66" s="20"/>
      <c r="ST66" s="20"/>
      <c r="SU66" s="20"/>
      <c r="SV66" s="20"/>
      <c r="SW66" s="20"/>
      <c r="SX66" s="20"/>
      <c r="SY66" s="20"/>
      <c r="SZ66" s="20"/>
      <c r="TA66" s="20"/>
      <c r="TB66" s="20"/>
      <c r="TC66" s="20"/>
      <c r="TD66" s="20"/>
      <c r="TE66" s="20"/>
      <c r="TF66" s="20"/>
      <c r="TG66" s="20"/>
      <c r="TH66" s="20"/>
      <c r="TI66" s="20"/>
      <c r="TJ66" s="20"/>
      <c r="TK66" s="20"/>
      <c r="TL66" s="20"/>
      <c r="TM66" s="20"/>
      <c r="TN66" s="20"/>
      <c r="TO66" s="20"/>
      <c r="TP66" s="20"/>
      <c r="TQ66" s="20"/>
      <c r="TR66" s="20"/>
      <c r="TS66" s="20"/>
      <c r="TT66" s="20"/>
      <c r="TU66" s="20"/>
      <c r="TV66" s="20"/>
      <c r="TW66" s="20"/>
      <c r="TX66" s="20"/>
      <c r="TY66" s="20"/>
      <c r="TZ66" s="20"/>
      <c r="UA66" s="20"/>
      <c r="UB66" s="20"/>
      <c r="UC66" s="20"/>
      <c r="UD66" s="20"/>
      <c r="UE66" s="20"/>
      <c r="UF66" s="20"/>
      <c r="UG66" s="20"/>
      <c r="UH66" s="20"/>
      <c r="UI66" s="20"/>
      <c r="UJ66" s="20"/>
      <c r="UK66" s="20"/>
      <c r="UL66" s="20"/>
      <c r="UM66" s="20"/>
      <c r="UN66" s="20"/>
      <c r="UO66" s="20"/>
      <c r="UP66" s="20"/>
      <c r="UQ66" s="20"/>
      <c r="UR66" s="20"/>
      <c r="US66" s="20"/>
      <c r="UT66" s="20"/>
      <c r="UU66" s="20"/>
      <c r="UV66" s="20"/>
      <c r="UW66" s="20"/>
      <c r="UX66" s="20"/>
      <c r="UY66" s="20"/>
      <c r="UZ66" s="20"/>
      <c r="VA66" s="20"/>
      <c r="VB66" s="20"/>
      <c r="VC66" s="20"/>
      <c r="VD66" s="20"/>
      <c r="VE66" s="20"/>
      <c r="VF66" s="20"/>
      <c r="VG66" s="20"/>
      <c r="VH66" s="20"/>
      <c r="VI66" s="20"/>
      <c r="VJ66" s="20"/>
      <c r="VK66" s="20"/>
      <c r="VL66" s="20"/>
      <c r="VM66" s="20"/>
      <c r="VN66" s="20"/>
      <c r="VO66" s="20"/>
      <c r="VP66" s="20"/>
      <c r="VQ66" s="20"/>
      <c r="VR66" s="20"/>
      <c r="VS66" s="20"/>
      <c r="VT66" s="20"/>
      <c r="VU66" s="20"/>
      <c r="VV66" s="20"/>
      <c r="VW66" s="20"/>
      <c r="VX66" s="20"/>
      <c r="VY66" s="20"/>
      <c r="VZ66" s="20"/>
      <c r="WA66" s="20"/>
      <c r="WB66" s="20"/>
      <c r="WC66" s="20"/>
      <c r="WD66" s="20"/>
      <c r="WE66" s="20"/>
      <c r="WF66" s="20"/>
      <c r="WG66" s="20"/>
      <c r="WH66" s="20"/>
      <c r="WI66" s="20"/>
      <c r="WJ66" s="20"/>
      <c r="WK66" s="20"/>
      <c r="WL66" s="20"/>
      <c r="WM66" s="20"/>
      <c r="WN66" s="20"/>
      <c r="WO66" s="20"/>
      <c r="WP66" s="20"/>
      <c r="WQ66" s="20"/>
      <c r="WR66" s="20"/>
      <c r="WS66" s="20"/>
      <c r="WT66" s="20"/>
      <c r="WU66" s="20"/>
      <c r="WV66" s="20"/>
      <c r="WW66" s="20"/>
      <c r="WX66" s="20"/>
      <c r="WY66" s="20"/>
      <c r="WZ66" s="20"/>
      <c r="XA66" s="20"/>
      <c r="XB66" s="20"/>
      <c r="XC66" s="20"/>
      <c r="XD66" s="20"/>
      <c r="XE66" s="20"/>
      <c r="XF66" s="20"/>
      <c r="XG66" s="20"/>
      <c r="XH66" s="20"/>
      <c r="XI66" s="20"/>
      <c r="XJ66" s="20"/>
      <c r="XK66" s="20"/>
      <c r="XL66" s="20"/>
      <c r="XM66" s="20"/>
      <c r="XN66" s="20"/>
      <c r="XO66" s="20"/>
      <c r="XP66" s="20"/>
      <c r="XQ66" s="20"/>
      <c r="XR66" s="20"/>
      <c r="XS66" s="20"/>
      <c r="XT66" s="20"/>
      <c r="XU66" s="20"/>
      <c r="XV66" s="20"/>
      <c r="XW66" s="20"/>
      <c r="XX66" s="20"/>
      <c r="XY66" s="20"/>
      <c r="XZ66" s="20"/>
      <c r="YA66" s="20"/>
      <c r="YB66" s="20"/>
      <c r="YC66" s="20"/>
      <c r="YD66" s="20"/>
      <c r="YE66" s="20"/>
      <c r="YF66" s="20"/>
      <c r="YG66" s="20"/>
      <c r="YH66" s="20"/>
      <c r="YI66" s="20"/>
      <c r="YJ66" s="20"/>
      <c r="YK66" s="20"/>
      <c r="YL66" s="20"/>
      <c r="YM66" s="20"/>
      <c r="YN66" s="20"/>
      <c r="YO66" s="20"/>
      <c r="YP66" s="20"/>
      <c r="YQ66" s="20"/>
      <c r="YR66" s="20"/>
      <c r="YS66" s="20"/>
      <c r="YT66" s="20"/>
      <c r="YU66" s="20"/>
      <c r="YV66" s="20"/>
      <c r="YW66" s="20"/>
      <c r="YX66" s="20"/>
      <c r="YY66" s="20"/>
      <c r="YZ66" s="20"/>
      <c r="ZA66" s="20"/>
      <c r="ZB66" s="20"/>
      <c r="ZC66" s="20"/>
      <c r="ZD66" s="20"/>
      <c r="ZE66" s="20"/>
      <c r="ZF66" s="20"/>
      <c r="ZG66" s="20"/>
      <c r="ZH66" s="20"/>
      <c r="ZI66" s="20"/>
      <c r="ZJ66" s="20"/>
      <c r="ZK66" s="20"/>
      <c r="ZL66" s="20"/>
      <c r="ZM66" s="20"/>
      <c r="ZN66" s="20"/>
      <c r="ZO66" s="20"/>
      <c r="ZP66" s="20"/>
      <c r="ZQ66" s="20"/>
      <c r="ZR66" s="20"/>
      <c r="ZS66" s="20"/>
      <c r="ZT66" s="20"/>
      <c r="ZU66" s="20"/>
      <c r="ZV66" s="20"/>
      <c r="ZW66" s="20"/>
      <c r="ZX66" s="20"/>
      <c r="ZY66" s="20"/>
      <c r="ZZ66" s="20"/>
      <c r="AAA66" s="20"/>
      <c r="AAB66" s="20"/>
      <c r="AAC66" s="20"/>
      <c r="AAD66" s="20"/>
      <c r="AAE66" s="20"/>
      <c r="AAF66" s="20"/>
      <c r="AAG66" s="20"/>
      <c r="AAH66" s="20"/>
      <c r="AAI66" s="20"/>
      <c r="AAJ66" s="20"/>
      <c r="AAK66" s="20"/>
      <c r="AAL66" s="20"/>
      <c r="AAM66" s="20"/>
      <c r="AAN66" s="20"/>
      <c r="AAO66" s="20"/>
      <c r="AAP66" s="20"/>
      <c r="AAQ66" s="20"/>
      <c r="AAR66" s="20"/>
      <c r="AAS66" s="20"/>
      <c r="AAT66" s="20"/>
      <c r="AAU66" s="20"/>
      <c r="AAV66" s="20"/>
      <c r="AAW66" s="20"/>
      <c r="AAX66" s="20"/>
      <c r="AAY66" s="20"/>
      <c r="AAZ66" s="20"/>
      <c r="ABA66" s="20"/>
      <c r="ABB66" s="20"/>
      <c r="ABC66" s="20"/>
      <c r="ABD66" s="20"/>
      <c r="ABE66" s="20"/>
      <c r="ABF66" s="20"/>
      <c r="ABG66" s="20"/>
      <c r="ABH66" s="20"/>
      <c r="ABI66" s="20"/>
      <c r="ABJ66" s="20"/>
      <c r="ABK66" s="20"/>
      <c r="ABL66" s="20"/>
      <c r="ABM66" s="20"/>
      <c r="ABN66" s="20"/>
      <c r="ABO66" s="20"/>
      <c r="ABP66" s="20"/>
      <c r="ABQ66" s="20"/>
      <c r="ABR66" s="20"/>
      <c r="ABS66" s="20"/>
      <c r="ABT66" s="20"/>
      <c r="ABU66" s="20"/>
      <c r="ABV66" s="20"/>
      <c r="ABW66" s="20"/>
      <c r="ABX66" s="20"/>
      <c r="ABY66" s="20"/>
      <c r="ABZ66" s="20"/>
      <c r="ACA66" s="20"/>
      <c r="ACB66" s="20"/>
      <c r="ACC66" s="20"/>
      <c r="ACD66" s="20"/>
      <c r="ACE66" s="20"/>
      <c r="ACF66" s="20"/>
      <c r="ACG66" s="20"/>
      <c r="ACH66" s="20"/>
      <c r="ACI66" s="20"/>
      <c r="ACJ66" s="20"/>
      <c r="ACK66" s="20"/>
      <c r="ACL66" s="20"/>
      <c r="ACM66" s="20"/>
      <c r="ACN66" s="20"/>
      <c r="ACO66" s="20"/>
      <c r="ACP66" s="20"/>
      <c r="ACQ66" s="20"/>
    </row>
    <row r="67" spans="1:771" s="62" customFormat="1" ht="51">
      <c r="A67" s="57"/>
      <c r="B67" s="61" t="s">
        <v>332</v>
      </c>
      <c r="D67" s="61" t="s">
        <v>305</v>
      </c>
      <c r="F67" s="63" t="s">
        <v>254</v>
      </c>
      <c r="H67" s="61" t="s">
        <v>298</v>
      </c>
      <c r="J67" s="61" t="s">
        <v>306</v>
      </c>
      <c r="L67" s="61" t="s">
        <v>74</v>
      </c>
      <c r="N67" s="61" t="s">
        <v>178</v>
      </c>
      <c r="P67" s="61" t="s">
        <v>333</v>
      </c>
      <c r="R67" s="64" t="s">
        <v>334</v>
      </c>
      <c r="T67" s="70" t="s">
        <v>265</v>
      </c>
      <c r="U67" s="66"/>
      <c r="V67" s="67" t="s">
        <v>80</v>
      </c>
      <c r="W67" s="68"/>
      <c r="X67" s="67" t="s">
        <v>80</v>
      </c>
      <c r="Y67" s="68"/>
      <c r="Z67" s="67" t="s">
        <v>80</v>
      </c>
      <c r="AA67" s="68"/>
      <c r="AB67" s="63" t="s">
        <v>335</v>
      </c>
      <c r="AD67" s="63" t="s">
        <v>336</v>
      </c>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c r="IW67" s="20"/>
      <c r="IX67" s="20"/>
      <c r="IY67" s="20"/>
      <c r="IZ67" s="20"/>
      <c r="JA67" s="20"/>
      <c r="JB67" s="20"/>
      <c r="JC67" s="20"/>
      <c r="JD67" s="20"/>
      <c r="JE67" s="20"/>
      <c r="JF67" s="20"/>
      <c r="JG67" s="20"/>
      <c r="JH67" s="20"/>
      <c r="JI67" s="20"/>
      <c r="JJ67" s="20"/>
      <c r="JK67" s="20"/>
      <c r="JL67" s="20"/>
      <c r="JM67" s="20"/>
      <c r="JN67" s="20"/>
      <c r="JO67" s="20"/>
      <c r="JP67" s="20"/>
      <c r="JQ67" s="20"/>
      <c r="JR67" s="20"/>
      <c r="JS67" s="20"/>
      <c r="JT67" s="20"/>
      <c r="JU67" s="20"/>
      <c r="JV67" s="20"/>
      <c r="JW67" s="20"/>
      <c r="JX67" s="20"/>
      <c r="JY67" s="20"/>
      <c r="JZ67" s="20"/>
      <c r="KA67" s="20"/>
      <c r="KB67" s="20"/>
      <c r="KC67" s="20"/>
      <c r="KD67" s="20"/>
      <c r="KE67" s="20"/>
      <c r="KF67" s="20"/>
      <c r="KG67" s="20"/>
      <c r="KH67" s="20"/>
      <c r="KI67" s="20"/>
      <c r="KJ67" s="20"/>
      <c r="KK67" s="20"/>
      <c r="KL67" s="20"/>
      <c r="KM67" s="20"/>
      <c r="KN67" s="20"/>
      <c r="KO67" s="20"/>
      <c r="KP67" s="20"/>
      <c r="KQ67" s="20"/>
      <c r="KR67" s="20"/>
      <c r="KS67" s="20"/>
      <c r="KT67" s="20"/>
      <c r="KU67" s="20"/>
      <c r="KV67" s="20"/>
      <c r="KW67" s="20"/>
      <c r="KX67" s="20"/>
      <c r="KY67" s="20"/>
      <c r="KZ67" s="20"/>
      <c r="LA67" s="20"/>
      <c r="LB67" s="20"/>
      <c r="LC67" s="20"/>
      <c r="LD67" s="20"/>
      <c r="LE67" s="20"/>
      <c r="LF67" s="20"/>
      <c r="LG67" s="20"/>
      <c r="LH67" s="20"/>
      <c r="LI67" s="20"/>
      <c r="LJ67" s="20"/>
      <c r="LK67" s="20"/>
      <c r="LL67" s="20"/>
      <c r="LM67" s="20"/>
      <c r="LN67" s="20"/>
      <c r="LO67" s="20"/>
      <c r="LP67" s="20"/>
      <c r="LQ67" s="20"/>
      <c r="LR67" s="20"/>
      <c r="LS67" s="20"/>
      <c r="LT67" s="20"/>
      <c r="LU67" s="20"/>
      <c r="LV67" s="20"/>
      <c r="LW67" s="20"/>
      <c r="LX67" s="20"/>
      <c r="LY67" s="20"/>
      <c r="LZ67" s="20"/>
      <c r="MA67" s="20"/>
      <c r="MB67" s="20"/>
      <c r="MC67" s="20"/>
      <c r="MD67" s="20"/>
      <c r="ME67" s="20"/>
      <c r="MF67" s="20"/>
      <c r="MG67" s="20"/>
      <c r="MH67" s="20"/>
      <c r="MI67" s="20"/>
      <c r="MJ67" s="20"/>
      <c r="MK67" s="20"/>
      <c r="ML67" s="20"/>
      <c r="MM67" s="20"/>
      <c r="MN67" s="20"/>
      <c r="MO67" s="20"/>
      <c r="MP67" s="20"/>
      <c r="MQ67" s="20"/>
      <c r="MR67" s="20"/>
      <c r="MS67" s="20"/>
      <c r="MT67" s="20"/>
      <c r="MU67" s="20"/>
      <c r="MV67" s="20"/>
      <c r="MW67" s="20"/>
      <c r="MX67" s="20"/>
      <c r="MY67" s="20"/>
      <c r="MZ67" s="20"/>
      <c r="NA67" s="20"/>
      <c r="NB67" s="20"/>
      <c r="NC67" s="20"/>
      <c r="ND67" s="20"/>
      <c r="NE67" s="20"/>
      <c r="NF67" s="20"/>
      <c r="NG67" s="20"/>
      <c r="NH67" s="20"/>
      <c r="NI67" s="20"/>
      <c r="NJ67" s="20"/>
      <c r="NK67" s="20"/>
      <c r="NL67" s="20"/>
      <c r="NM67" s="20"/>
      <c r="NN67" s="20"/>
      <c r="NO67" s="20"/>
      <c r="NP67" s="20"/>
      <c r="NQ67" s="20"/>
      <c r="NR67" s="20"/>
      <c r="NS67" s="20"/>
      <c r="NT67" s="20"/>
      <c r="NU67" s="20"/>
      <c r="NV67" s="20"/>
      <c r="NW67" s="20"/>
      <c r="NX67" s="20"/>
      <c r="NY67" s="20"/>
      <c r="NZ67" s="20"/>
      <c r="OA67" s="20"/>
      <c r="OB67" s="20"/>
      <c r="OC67" s="20"/>
      <c r="OD67" s="20"/>
      <c r="OE67" s="20"/>
      <c r="OF67" s="20"/>
      <c r="OG67" s="20"/>
      <c r="OH67" s="20"/>
      <c r="OI67" s="20"/>
      <c r="OJ67" s="20"/>
      <c r="OK67" s="20"/>
      <c r="OL67" s="20"/>
      <c r="OM67" s="20"/>
      <c r="ON67" s="20"/>
      <c r="OO67" s="20"/>
      <c r="OP67" s="20"/>
      <c r="OQ67" s="20"/>
      <c r="OR67" s="20"/>
      <c r="OS67" s="20"/>
      <c r="OT67" s="20"/>
      <c r="OU67" s="20"/>
      <c r="OV67" s="20"/>
      <c r="OW67" s="20"/>
      <c r="OX67" s="20"/>
      <c r="OY67" s="20"/>
      <c r="OZ67" s="20"/>
      <c r="PA67" s="20"/>
      <c r="PB67" s="20"/>
      <c r="PC67" s="20"/>
      <c r="PD67" s="20"/>
      <c r="PE67" s="20"/>
      <c r="PF67" s="20"/>
      <c r="PG67" s="20"/>
      <c r="PH67" s="20"/>
      <c r="PI67" s="20"/>
      <c r="PJ67" s="20"/>
      <c r="PK67" s="20"/>
      <c r="PL67" s="20"/>
      <c r="PM67" s="20"/>
      <c r="PN67" s="20"/>
      <c r="PO67" s="20"/>
      <c r="PP67" s="20"/>
      <c r="PQ67" s="20"/>
      <c r="PR67" s="20"/>
      <c r="PS67" s="20"/>
      <c r="PT67" s="20"/>
      <c r="PU67" s="20"/>
      <c r="PV67" s="20"/>
      <c r="PW67" s="20"/>
      <c r="PX67" s="20"/>
      <c r="PY67" s="20"/>
      <c r="PZ67" s="20"/>
      <c r="QA67" s="20"/>
      <c r="QB67" s="20"/>
      <c r="QC67" s="20"/>
      <c r="QD67" s="20"/>
      <c r="QE67" s="20"/>
      <c r="QF67" s="20"/>
      <c r="QG67" s="20"/>
      <c r="QH67" s="20"/>
      <c r="QI67" s="20"/>
      <c r="QJ67" s="20"/>
      <c r="QK67" s="20"/>
      <c r="QL67" s="20"/>
      <c r="QM67" s="20"/>
      <c r="QN67" s="20"/>
      <c r="QO67" s="20"/>
      <c r="QP67" s="20"/>
      <c r="QQ67" s="20"/>
      <c r="QR67" s="20"/>
      <c r="QS67" s="20"/>
      <c r="QT67" s="20"/>
      <c r="QU67" s="20"/>
      <c r="QV67" s="20"/>
      <c r="QW67" s="20"/>
      <c r="QX67" s="20"/>
      <c r="QY67" s="20"/>
      <c r="QZ67" s="20"/>
      <c r="RA67" s="20"/>
      <c r="RB67" s="20"/>
      <c r="RC67" s="20"/>
      <c r="RD67" s="20"/>
      <c r="RE67" s="20"/>
      <c r="RF67" s="20"/>
      <c r="RG67" s="20"/>
      <c r="RH67" s="20"/>
      <c r="RI67" s="20"/>
      <c r="RJ67" s="20"/>
      <c r="RK67" s="20"/>
      <c r="RL67" s="20"/>
      <c r="RM67" s="20"/>
      <c r="RN67" s="20"/>
      <c r="RO67" s="20"/>
      <c r="RP67" s="20"/>
      <c r="RQ67" s="20"/>
      <c r="RR67" s="20"/>
      <c r="RS67" s="20"/>
      <c r="RT67" s="20"/>
      <c r="RU67" s="20"/>
      <c r="RV67" s="20"/>
      <c r="RW67" s="20"/>
      <c r="RX67" s="20"/>
      <c r="RY67" s="20"/>
      <c r="RZ67" s="20"/>
      <c r="SA67" s="20"/>
      <c r="SB67" s="20"/>
      <c r="SC67" s="20"/>
      <c r="SD67" s="20"/>
      <c r="SE67" s="20"/>
      <c r="SF67" s="20"/>
      <c r="SG67" s="20"/>
      <c r="SH67" s="20"/>
      <c r="SI67" s="20"/>
      <c r="SJ67" s="20"/>
      <c r="SK67" s="20"/>
      <c r="SL67" s="20"/>
      <c r="SM67" s="20"/>
      <c r="SN67" s="20"/>
      <c r="SO67" s="20"/>
      <c r="SP67" s="20"/>
      <c r="SQ67" s="20"/>
      <c r="SR67" s="20"/>
      <c r="SS67" s="20"/>
      <c r="ST67" s="20"/>
      <c r="SU67" s="20"/>
      <c r="SV67" s="20"/>
      <c r="SW67" s="20"/>
      <c r="SX67" s="20"/>
      <c r="SY67" s="20"/>
      <c r="SZ67" s="20"/>
      <c r="TA67" s="20"/>
      <c r="TB67" s="20"/>
      <c r="TC67" s="20"/>
      <c r="TD67" s="20"/>
      <c r="TE67" s="20"/>
      <c r="TF67" s="20"/>
      <c r="TG67" s="20"/>
      <c r="TH67" s="20"/>
      <c r="TI67" s="20"/>
      <c r="TJ67" s="20"/>
      <c r="TK67" s="20"/>
      <c r="TL67" s="20"/>
      <c r="TM67" s="20"/>
      <c r="TN67" s="20"/>
      <c r="TO67" s="20"/>
      <c r="TP67" s="20"/>
      <c r="TQ67" s="20"/>
      <c r="TR67" s="20"/>
      <c r="TS67" s="20"/>
      <c r="TT67" s="20"/>
      <c r="TU67" s="20"/>
      <c r="TV67" s="20"/>
      <c r="TW67" s="20"/>
      <c r="TX67" s="20"/>
      <c r="TY67" s="20"/>
      <c r="TZ67" s="20"/>
      <c r="UA67" s="20"/>
      <c r="UB67" s="20"/>
      <c r="UC67" s="20"/>
      <c r="UD67" s="20"/>
      <c r="UE67" s="20"/>
      <c r="UF67" s="20"/>
      <c r="UG67" s="20"/>
      <c r="UH67" s="20"/>
      <c r="UI67" s="20"/>
      <c r="UJ67" s="20"/>
      <c r="UK67" s="20"/>
      <c r="UL67" s="20"/>
      <c r="UM67" s="20"/>
      <c r="UN67" s="20"/>
      <c r="UO67" s="20"/>
      <c r="UP67" s="20"/>
      <c r="UQ67" s="20"/>
      <c r="UR67" s="20"/>
      <c r="US67" s="20"/>
      <c r="UT67" s="20"/>
      <c r="UU67" s="20"/>
      <c r="UV67" s="20"/>
      <c r="UW67" s="20"/>
      <c r="UX67" s="20"/>
      <c r="UY67" s="20"/>
      <c r="UZ67" s="20"/>
      <c r="VA67" s="20"/>
      <c r="VB67" s="20"/>
      <c r="VC67" s="20"/>
      <c r="VD67" s="20"/>
      <c r="VE67" s="20"/>
      <c r="VF67" s="20"/>
      <c r="VG67" s="20"/>
      <c r="VH67" s="20"/>
      <c r="VI67" s="20"/>
      <c r="VJ67" s="20"/>
      <c r="VK67" s="20"/>
      <c r="VL67" s="20"/>
      <c r="VM67" s="20"/>
      <c r="VN67" s="20"/>
      <c r="VO67" s="20"/>
      <c r="VP67" s="20"/>
      <c r="VQ67" s="20"/>
      <c r="VR67" s="20"/>
      <c r="VS67" s="20"/>
      <c r="VT67" s="20"/>
      <c r="VU67" s="20"/>
      <c r="VV67" s="20"/>
      <c r="VW67" s="20"/>
      <c r="VX67" s="20"/>
      <c r="VY67" s="20"/>
      <c r="VZ67" s="20"/>
      <c r="WA67" s="20"/>
      <c r="WB67" s="20"/>
      <c r="WC67" s="20"/>
      <c r="WD67" s="20"/>
      <c r="WE67" s="20"/>
      <c r="WF67" s="20"/>
      <c r="WG67" s="20"/>
      <c r="WH67" s="20"/>
      <c r="WI67" s="20"/>
      <c r="WJ67" s="20"/>
      <c r="WK67" s="20"/>
      <c r="WL67" s="20"/>
      <c r="WM67" s="20"/>
      <c r="WN67" s="20"/>
      <c r="WO67" s="20"/>
      <c r="WP67" s="20"/>
      <c r="WQ67" s="20"/>
      <c r="WR67" s="20"/>
      <c r="WS67" s="20"/>
      <c r="WT67" s="20"/>
      <c r="WU67" s="20"/>
      <c r="WV67" s="20"/>
      <c r="WW67" s="20"/>
      <c r="WX67" s="20"/>
      <c r="WY67" s="20"/>
      <c r="WZ67" s="20"/>
      <c r="XA67" s="20"/>
      <c r="XB67" s="20"/>
      <c r="XC67" s="20"/>
      <c r="XD67" s="20"/>
      <c r="XE67" s="20"/>
      <c r="XF67" s="20"/>
      <c r="XG67" s="20"/>
      <c r="XH67" s="20"/>
      <c r="XI67" s="20"/>
      <c r="XJ67" s="20"/>
      <c r="XK67" s="20"/>
      <c r="XL67" s="20"/>
      <c r="XM67" s="20"/>
      <c r="XN67" s="20"/>
      <c r="XO67" s="20"/>
      <c r="XP67" s="20"/>
      <c r="XQ67" s="20"/>
      <c r="XR67" s="20"/>
      <c r="XS67" s="20"/>
      <c r="XT67" s="20"/>
      <c r="XU67" s="20"/>
      <c r="XV67" s="20"/>
      <c r="XW67" s="20"/>
      <c r="XX67" s="20"/>
      <c r="XY67" s="20"/>
      <c r="XZ67" s="20"/>
      <c r="YA67" s="20"/>
      <c r="YB67" s="20"/>
      <c r="YC67" s="20"/>
      <c r="YD67" s="20"/>
      <c r="YE67" s="20"/>
      <c r="YF67" s="20"/>
      <c r="YG67" s="20"/>
      <c r="YH67" s="20"/>
      <c r="YI67" s="20"/>
      <c r="YJ67" s="20"/>
      <c r="YK67" s="20"/>
      <c r="YL67" s="20"/>
      <c r="YM67" s="20"/>
      <c r="YN67" s="20"/>
      <c r="YO67" s="20"/>
      <c r="YP67" s="20"/>
      <c r="YQ67" s="20"/>
      <c r="YR67" s="20"/>
      <c r="YS67" s="20"/>
      <c r="YT67" s="20"/>
      <c r="YU67" s="20"/>
      <c r="YV67" s="20"/>
      <c r="YW67" s="20"/>
      <c r="YX67" s="20"/>
      <c r="YY67" s="20"/>
      <c r="YZ67" s="20"/>
      <c r="ZA67" s="20"/>
      <c r="ZB67" s="20"/>
      <c r="ZC67" s="20"/>
      <c r="ZD67" s="20"/>
      <c r="ZE67" s="20"/>
      <c r="ZF67" s="20"/>
      <c r="ZG67" s="20"/>
      <c r="ZH67" s="20"/>
      <c r="ZI67" s="20"/>
      <c r="ZJ67" s="20"/>
      <c r="ZK67" s="20"/>
      <c r="ZL67" s="20"/>
      <c r="ZM67" s="20"/>
      <c r="ZN67" s="20"/>
      <c r="ZO67" s="20"/>
      <c r="ZP67" s="20"/>
      <c r="ZQ67" s="20"/>
      <c r="ZR67" s="20"/>
      <c r="ZS67" s="20"/>
      <c r="ZT67" s="20"/>
      <c r="ZU67" s="20"/>
      <c r="ZV67" s="20"/>
      <c r="ZW67" s="20"/>
      <c r="ZX67" s="20"/>
      <c r="ZY67" s="20"/>
      <c r="ZZ67" s="20"/>
      <c r="AAA67" s="20"/>
      <c r="AAB67" s="20"/>
      <c r="AAC67" s="20"/>
      <c r="AAD67" s="20"/>
      <c r="AAE67" s="20"/>
      <c r="AAF67" s="20"/>
      <c r="AAG67" s="20"/>
      <c r="AAH67" s="20"/>
      <c r="AAI67" s="20"/>
      <c r="AAJ67" s="20"/>
      <c r="AAK67" s="20"/>
      <c r="AAL67" s="20"/>
      <c r="AAM67" s="20"/>
      <c r="AAN67" s="20"/>
      <c r="AAO67" s="20"/>
      <c r="AAP67" s="20"/>
      <c r="AAQ67" s="20"/>
      <c r="AAR67" s="20"/>
      <c r="AAS67" s="20"/>
      <c r="AAT67" s="20"/>
      <c r="AAU67" s="20"/>
      <c r="AAV67" s="20"/>
      <c r="AAW67" s="20"/>
      <c r="AAX67" s="20"/>
      <c r="AAY67" s="20"/>
      <c r="AAZ67" s="20"/>
      <c r="ABA67" s="20"/>
      <c r="ABB67" s="20"/>
      <c r="ABC67" s="20"/>
      <c r="ABD67" s="20"/>
      <c r="ABE67" s="20"/>
      <c r="ABF67" s="20"/>
      <c r="ABG67" s="20"/>
      <c r="ABH67" s="20"/>
      <c r="ABI67" s="20"/>
      <c r="ABJ67" s="20"/>
      <c r="ABK67" s="20"/>
      <c r="ABL67" s="20"/>
      <c r="ABM67" s="20"/>
      <c r="ABN67" s="20"/>
      <c r="ABO67" s="20"/>
      <c r="ABP67" s="20"/>
      <c r="ABQ67" s="20"/>
      <c r="ABR67" s="20"/>
      <c r="ABS67" s="20"/>
      <c r="ABT67" s="20"/>
      <c r="ABU67" s="20"/>
      <c r="ABV67" s="20"/>
      <c r="ABW67" s="20"/>
      <c r="ABX67" s="20"/>
      <c r="ABY67" s="20"/>
      <c r="ABZ67" s="20"/>
      <c r="ACA67" s="20"/>
      <c r="ACB67" s="20"/>
      <c r="ACC67" s="20"/>
      <c r="ACD67" s="20"/>
      <c r="ACE67" s="20"/>
      <c r="ACF67" s="20"/>
      <c r="ACG67" s="20"/>
      <c r="ACH67" s="20"/>
      <c r="ACI67" s="20"/>
      <c r="ACJ67" s="20"/>
      <c r="ACK67" s="20"/>
      <c r="ACL67" s="20"/>
      <c r="ACM67" s="20"/>
      <c r="ACN67" s="20"/>
      <c r="ACO67" s="20"/>
      <c r="ACP67" s="20"/>
      <c r="ACQ67" s="20"/>
    </row>
    <row r="68" spans="1:771" s="62" customFormat="1" ht="323.10000000000002">
      <c r="A68" s="57"/>
      <c r="B68" s="61" t="s">
        <v>337</v>
      </c>
      <c r="D68" s="61" t="s">
        <v>338</v>
      </c>
      <c r="F68" s="63" t="s">
        <v>254</v>
      </c>
      <c r="H68" s="61" t="s">
        <v>298</v>
      </c>
      <c r="J68" s="61" t="s">
        <v>306</v>
      </c>
      <c r="L68" s="61" t="s">
        <v>74</v>
      </c>
      <c r="N68" s="61" t="s">
        <v>178</v>
      </c>
      <c r="P68" s="61" t="s">
        <v>339</v>
      </c>
      <c r="R68" s="64" t="s">
        <v>340</v>
      </c>
      <c r="T68" s="70" t="s">
        <v>265</v>
      </c>
      <c r="U68" s="66"/>
      <c r="V68" s="67" t="s">
        <v>79</v>
      </c>
      <c r="W68" s="68"/>
      <c r="X68" s="67" t="s">
        <v>80</v>
      </c>
      <c r="Y68" s="68"/>
      <c r="Z68" s="67" t="s">
        <v>80</v>
      </c>
      <c r="AA68" s="68"/>
      <c r="AB68" s="67" t="s">
        <v>80</v>
      </c>
      <c r="AD68" s="63" t="s">
        <v>341</v>
      </c>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c r="IW68" s="20"/>
      <c r="IX68" s="20"/>
      <c r="IY68" s="20"/>
      <c r="IZ68" s="20"/>
      <c r="JA68" s="20"/>
      <c r="JB68" s="20"/>
      <c r="JC68" s="20"/>
      <c r="JD68" s="20"/>
      <c r="JE68" s="20"/>
      <c r="JF68" s="20"/>
      <c r="JG68" s="20"/>
      <c r="JH68" s="20"/>
      <c r="JI68" s="20"/>
      <c r="JJ68" s="20"/>
      <c r="JK68" s="20"/>
      <c r="JL68" s="20"/>
      <c r="JM68" s="20"/>
      <c r="JN68" s="20"/>
      <c r="JO68" s="20"/>
      <c r="JP68" s="20"/>
      <c r="JQ68" s="20"/>
      <c r="JR68" s="20"/>
      <c r="JS68" s="20"/>
      <c r="JT68" s="20"/>
      <c r="JU68" s="20"/>
      <c r="JV68" s="20"/>
      <c r="JW68" s="20"/>
      <c r="JX68" s="20"/>
      <c r="JY68" s="20"/>
      <c r="JZ68" s="20"/>
      <c r="KA68" s="20"/>
      <c r="KB68" s="20"/>
      <c r="KC68" s="20"/>
      <c r="KD68" s="20"/>
      <c r="KE68" s="20"/>
      <c r="KF68" s="20"/>
      <c r="KG68" s="20"/>
      <c r="KH68" s="20"/>
      <c r="KI68" s="20"/>
      <c r="KJ68" s="20"/>
      <c r="KK68" s="20"/>
      <c r="KL68" s="20"/>
      <c r="KM68" s="20"/>
      <c r="KN68" s="20"/>
      <c r="KO68" s="20"/>
      <c r="KP68" s="20"/>
      <c r="KQ68" s="20"/>
      <c r="KR68" s="20"/>
      <c r="KS68" s="20"/>
      <c r="KT68" s="20"/>
      <c r="KU68" s="20"/>
      <c r="KV68" s="20"/>
      <c r="KW68" s="20"/>
      <c r="KX68" s="20"/>
      <c r="KY68" s="20"/>
      <c r="KZ68" s="20"/>
      <c r="LA68" s="20"/>
      <c r="LB68" s="20"/>
      <c r="LC68" s="20"/>
      <c r="LD68" s="20"/>
      <c r="LE68" s="20"/>
      <c r="LF68" s="20"/>
      <c r="LG68" s="20"/>
      <c r="LH68" s="20"/>
      <c r="LI68" s="20"/>
      <c r="LJ68" s="20"/>
      <c r="LK68" s="20"/>
      <c r="LL68" s="20"/>
      <c r="LM68" s="20"/>
      <c r="LN68" s="20"/>
      <c r="LO68" s="20"/>
      <c r="LP68" s="20"/>
      <c r="LQ68" s="20"/>
      <c r="LR68" s="20"/>
      <c r="LS68" s="20"/>
      <c r="LT68" s="20"/>
      <c r="LU68" s="20"/>
      <c r="LV68" s="20"/>
      <c r="LW68" s="20"/>
      <c r="LX68" s="20"/>
      <c r="LY68" s="20"/>
      <c r="LZ68" s="20"/>
      <c r="MA68" s="20"/>
      <c r="MB68" s="20"/>
      <c r="MC68" s="20"/>
      <c r="MD68" s="20"/>
      <c r="ME68" s="20"/>
      <c r="MF68" s="20"/>
      <c r="MG68" s="20"/>
      <c r="MH68" s="20"/>
      <c r="MI68" s="20"/>
      <c r="MJ68" s="20"/>
      <c r="MK68" s="20"/>
      <c r="ML68" s="20"/>
      <c r="MM68" s="20"/>
      <c r="MN68" s="20"/>
      <c r="MO68" s="20"/>
      <c r="MP68" s="20"/>
      <c r="MQ68" s="20"/>
      <c r="MR68" s="20"/>
      <c r="MS68" s="20"/>
      <c r="MT68" s="20"/>
      <c r="MU68" s="20"/>
      <c r="MV68" s="20"/>
      <c r="MW68" s="20"/>
      <c r="MX68" s="20"/>
      <c r="MY68" s="20"/>
      <c r="MZ68" s="20"/>
      <c r="NA68" s="20"/>
      <c r="NB68" s="20"/>
      <c r="NC68" s="20"/>
      <c r="ND68" s="20"/>
      <c r="NE68" s="20"/>
      <c r="NF68" s="20"/>
      <c r="NG68" s="20"/>
      <c r="NH68" s="20"/>
      <c r="NI68" s="20"/>
      <c r="NJ68" s="20"/>
      <c r="NK68" s="20"/>
      <c r="NL68" s="20"/>
      <c r="NM68" s="20"/>
      <c r="NN68" s="20"/>
      <c r="NO68" s="20"/>
      <c r="NP68" s="20"/>
      <c r="NQ68" s="20"/>
      <c r="NR68" s="20"/>
      <c r="NS68" s="20"/>
      <c r="NT68" s="20"/>
      <c r="NU68" s="20"/>
      <c r="NV68" s="20"/>
      <c r="NW68" s="20"/>
      <c r="NX68" s="20"/>
      <c r="NY68" s="20"/>
      <c r="NZ68" s="20"/>
      <c r="OA68" s="20"/>
      <c r="OB68" s="20"/>
      <c r="OC68" s="20"/>
      <c r="OD68" s="20"/>
      <c r="OE68" s="20"/>
      <c r="OF68" s="20"/>
      <c r="OG68" s="20"/>
      <c r="OH68" s="20"/>
      <c r="OI68" s="20"/>
      <c r="OJ68" s="20"/>
      <c r="OK68" s="20"/>
      <c r="OL68" s="20"/>
      <c r="OM68" s="20"/>
      <c r="ON68" s="20"/>
      <c r="OO68" s="20"/>
      <c r="OP68" s="20"/>
      <c r="OQ68" s="20"/>
      <c r="OR68" s="20"/>
      <c r="OS68" s="20"/>
      <c r="OT68" s="20"/>
      <c r="OU68" s="20"/>
      <c r="OV68" s="20"/>
      <c r="OW68" s="20"/>
      <c r="OX68" s="20"/>
      <c r="OY68" s="20"/>
      <c r="OZ68" s="20"/>
      <c r="PA68" s="20"/>
      <c r="PB68" s="20"/>
      <c r="PC68" s="20"/>
      <c r="PD68" s="20"/>
      <c r="PE68" s="20"/>
      <c r="PF68" s="20"/>
      <c r="PG68" s="20"/>
      <c r="PH68" s="20"/>
      <c r="PI68" s="20"/>
      <c r="PJ68" s="20"/>
      <c r="PK68" s="20"/>
      <c r="PL68" s="20"/>
      <c r="PM68" s="20"/>
      <c r="PN68" s="20"/>
      <c r="PO68" s="20"/>
      <c r="PP68" s="20"/>
      <c r="PQ68" s="20"/>
      <c r="PR68" s="20"/>
      <c r="PS68" s="20"/>
      <c r="PT68" s="20"/>
      <c r="PU68" s="20"/>
      <c r="PV68" s="20"/>
      <c r="PW68" s="20"/>
      <c r="PX68" s="20"/>
      <c r="PY68" s="20"/>
      <c r="PZ68" s="20"/>
      <c r="QA68" s="20"/>
      <c r="QB68" s="20"/>
      <c r="QC68" s="20"/>
      <c r="QD68" s="20"/>
      <c r="QE68" s="20"/>
      <c r="QF68" s="20"/>
      <c r="QG68" s="20"/>
      <c r="QH68" s="20"/>
      <c r="QI68" s="20"/>
      <c r="QJ68" s="20"/>
      <c r="QK68" s="20"/>
      <c r="QL68" s="20"/>
      <c r="QM68" s="20"/>
      <c r="QN68" s="20"/>
      <c r="QO68" s="20"/>
      <c r="QP68" s="20"/>
      <c r="QQ68" s="20"/>
      <c r="QR68" s="20"/>
      <c r="QS68" s="20"/>
      <c r="QT68" s="20"/>
      <c r="QU68" s="20"/>
      <c r="QV68" s="20"/>
      <c r="QW68" s="20"/>
      <c r="QX68" s="20"/>
      <c r="QY68" s="20"/>
      <c r="QZ68" s="20"/>
      <c r="RA68" s="20"/>
      <c r="RB68" s="20"/>
      <c r="RC68" s="20"/>
      <c r="RD68" s="20"/>
      <c r="RE68" s="20"/>
      <c r="RF68" s="20"/>
      <c r="RG68" s="20"/>
      <c r="RH68" s="20"/>
      <c r="RI68" s="20"/>
      <c r="RJ68" s="20"/>
      <c r="RK68" s="20"/>
      <c r="RL68" s="20"/>
      <c r="RM68" s="20"/>
      <c r="RN68" s="20"/>
      <c r="RO68" s="20"/>
      <c r="RP68" s="20"/>
      <c r="RQ68" s="20"/>
      <c r="RR68" s="20"/>
      <c r="RS68" s="20"/>
      <c r="RT68" s="20"/>
      <c r="RU68" s="20"/>
      <c r="RV68" s="20"/>
      <c r="RW68" s="20"/>
      <c r="RX68" s="20"/>
      <c r="RY68" s="20"/>
      <c r="RZ68" s="20"/>
      <c r="SA68" s="20"/>
      <c r="SB68" s="20"/>
      <c r="SC68" s="20"/>
      <c r="SD68" s="20"/>
      <c r="SE68" s="20"/>
      <c r="SF68" s="20"/>
      <c r="SG68" s="20"/>
      <c r="SH68" s="20"/>
      <c r="SI68" s="20"/>
      <c r="SJ68" s="20"/>
      <c r="SK68" s="20"/>
      <c r="SL68" s="20"/>
      <c r="SM68" s="20"/>
      <c r="SN68" s="20"/>
      <c r="SO68" s="20"/>
      <c r="SP68" s="20"/>
      <c r="SQ68" s="20"/>
      <c r="SR68" s="20"/>
      <c r="SS68" s="20"/>
      <c r="ST68" s="20"/>
      <c r="SU68" s="20"/>
      <c r="SV68" s="20"/>
      <c r="SW68" s="20"/>
      <c r="SX68" s="20"/>
      <c r="SY68" s="20"/>
      <c r="SZ68" s="20"/>
      <c r="TA68" s="20"/>
      <c r="TB68" s="20"/>
      <c r="TC68" s="20"/>
      <c r="TD68" s="20"/>
      <c r="TE68" s="20"/>
      <c r="TF68" s="20"/>
      <c r="TG68" s="20"/>
      <c r="TH68" s="20"/>
      <c r="TI68" s="20"/>
      <c r="TJ68" s="20"/>
      <c r="TK68" s="20"/>
      <c r="TL68" s="20"/>
      <c r="TM68" s="20"/>
      <c r="TN68" s="20"/>
      <c r="TO68" s="20"/>
      <c r="TP68" s="20"/>
      <c r="TQ68" s="20"/>
      <c r="TR68" s="20"/>
      <c r="TS68" s="20"/>
      <c r="TT68" s="20"/>
      <c r="TU68" s="20"/>
      <c r="TV68" s="20"/>
      <c r="TW68" s="20"/>
      <c r="TX68" s="20"/>
      <c r="TY68" s="20"/>
      <c r="TZ68" s="20"/>
      <c r="UA68" s="20"/>
      <c r="UB68" s="20"/>
      <c r="UC68" s="20"/>
      <c r="UD68" s="20"/>
      <c r="UE68" s="20"/>
      <c r="UF68" s="20"/>
      <c r="UG68" s="20"/>
      <c r="UH68" s="20"/>
      <c r="UI68" s="20"/>
      <c r="UJ68" s="20"/>
      <c r="UK68" s="20"/>
      <c r="UL68" s="20"/>
      <c r="UM68" s="20"/>
      <c r="UN68" s="20"/>
      <c r="UO68" s="20"/>
      <c r="UP68" s="20"/>
      <c r="UQ68" s="20"/>
      <c r="UR68" s="20"/>
      <c r="US68" s="20"/>
      <c r="UT68" s="20"/>
      <c r="UU68" s="20"/>
      <c r="UV68" s="20"/>
      <c r="UW68" s="20"/>
      <c r="UX68" s="20"/>
      <c r="UY68" s="20"/>
      <c r="UZ68" s="20"/>
      <c r="VA68" s="20"/>
      <c r="VB68" s="20"/>
      <c r="VC68" s="20"/>
      <c r="VD68" s="20"/>
      <c r="VE68" s="20"/>
      <c r="VF68" s="20"/>
      <c r="VG68" s="20"/>
      <c r="VH68" s="20"/>
      <c r="VI68" s="20"/>
      <c r="VJ68" s="20"/>
      <c r="VK68" s="20"/>
      <c r="VL68" s="20"/>
      <c r="VM68" s="20"/>
      <c r="VN68" s="20"/>
      <c r="VO68" s="20"/>
      <c r="VP68" s="20"/>
      <c r="VQ68" s="20"/>
      <c r="VR68" s="20"/>
      <c r="VS68" s="20"/>
      <c r="VT68" s="20"/>
      <c r="VU68" s="20"/>
      <c r="VV68" s="20"/>
      <c r="VW68" s="20"/>
      <c r="VX68" s="20"/>
      <c r="VY68" s="20"/>
      <c r="VZ68" s="20"/>
      <c r="WA68" s="20"/>
      <c r="WB68" s="20"/>
      <c r="WC68" s="20"/>
      <c r="WD68" s="20"/>
      <c r="WE68" s="20"/>
      <c r="WF68" s="20"/>
      <c r="WG68" s="20"/>
      <c r="WH68" s="20"/>
      <c r="WI68" s="20"/>
      <c r="WJ68" s="20"/>
      <c r="WK68" s="20"/>
      <c r="WL68" s="20"/>
      <c r="WM68" s="20"/>
      <c r="WN68" s="20"/>
      <c r="WO68" s="20"/>
      <c r="WP68" s="20"/>
      <c r="WQ68" s="20"/>
      <c r="WR68" s="20"/>
      <c r="WS68" s="20"/>
      <c r="WT68" s="20"/>
      <c r="WU68" s="20"/>
      <c r="WV68" s="20"/>
      <c r="WW68" s="20"/>
      <c r="WX68" s="20"/>
      <c r="WY68" s="20"/>
      <c r="WZ68" s="20"/>
      <c r="XA68" s="20"/>
      <c r="XB68" s="20"/>
      <c r="XC68" s="20"/>
      <c r="XD68" s="20"/>
      <c r="XE68" s="20"/>
      <c r="XF68" s="20"/>
      <c r="XG68" s="20"/>
      <c r="XH68" s="20"/>
      <c r="XI68" s="20"/>
      <c r="XJ68" s="20"/>
      <c r="XK68" s="20"/>
      <c r="XL68" s="20"/>
      <c r="XM68" s="20"/>
      <c r="XN68" s="20"/>
      <c r="XO68" s="20"/>
      <c r="XP68" s="20"/>
      <c r="XQ68" s="20"/>
      <c r="XR68" s="20"/>
      <c r="XS68" s="20"/>
      <c r="XT68" s="20"/>
      <c r="XU68" s="20"/>
      <c r="XV68" s="20"/>
      <c r="XW68" s="20"/>
      <c r="XX68" s="20"/>
      <c r="XY68" s="20"/>
      <c r="XZ68" s="20"/>
      <c r="YA68" s="20"/>
      <c r="YB68" s="20"/>
      <c r="YC68" s="20"/>
      <c r="YD68" s="20"/>
      <c r="YE68" s="20"/>
      <c r="YF68" s="20"/>
      <c r="YG68" s="20"/>
      <c r="YH68" s="20"/>
      <c r="YI68" s="20"/>
      <c r="YJ68" s="20"/>
      <c r="YK68" s="20"/>
      <c r="YL68" s="20"/>
      <c r="YM68" s="20"/>
      <c r="YN68" s="20"/>
      <c r="YO68" s="20"/>
      <c r="YP68" s="20"/>
      <c r="YQ68" s="20"/>
      <c r="YR68" s="20"/>
      <c r="YS68" s="20"/>
      <c r="YT68" s="20"/>
      <c r="YU68" s="20"/>
      <c r="YV68" s="20"/>
      <c r="YW68" s="20"/>
      <c r="YX68" s="20"/>
      <c r="YY68" s="20"/>
      <c r="YZ68" s="20"/>
      <c r="ZA68" s="20"/>
      <c r="ZB68" s="20"/>
      <c r="ZC68" s="20"/>
      <c r="ZD68" s="20"/>
      <c r="ZE68" s="20"/>
      <c r="ZF68" s="20"/>
      <c r="ZG68" s="20"/>
      <c r="ZH68" s="20"/>
      <c r="ZI68" s="20"/>
      <c r="ZJ68" s="20"/>
      <c r="ZK68" s="20"/>
      <c r="ZL68" s="20"/>
      <c r="ZM68" s="20"/>
      <c r="ZN68" s="20"/>
      <c r="ZO68" s="20"/>
      <c r="ZP68" s="20"/>
      <c r="ZQ68" s="20"/>
      <c r="ZR68" s="20"/>
      <c r="ZS68" s="20"/>
      <c r="ZT68" s="20"/>
      <c r="ZU68" s="20"/>
      <c r="ZV68" s="20"/>
      <c r="ZW68" s="20"/>
      <c r="ZX68" s="20"/>
      <c r="ZY68" s="20"/>
      <c r="ZZ68" s="20"/>
      <c r="AAA68" s="20"/>
      <c r="AAB68" s="20"/>
      <c r="AAC68" s="20"/>
      <c r="AAD68" s="20"/>
      <c r="AAE68" s="20"/>
      <c r="AAF68" s="20"/>
      <c r="AAG68" s="20"/>
      <c r="AAH68" s="20"/>
      <c r="AAI68" s="20"/>
      <c r="AAJ68" s="20"/>
      <c r="AAK68" s="20"/>
      <c r="AAL68" s="20"/>
      <c r="AAM68" s="20"/>
      <c r="AAN68" s="20"/>
      <c r="AAO68" s="20"/>
      <c r="AAP68" s="20"/>
      <c r="AAQ68" s="20"/>
      <c r="AAR68" s="20"/>
      <c r="AAS68" s="20"/>
      <c r="AAT68" s="20"/>
      <c r="AAU68" s="20"/>
      <c r="AAV68" s="20"/>
      <c r="AAW68" s="20"/>
      <c r="AAX68" s="20"/>
      <c r="AAY68" s="20"/>
      <c r="AAZ68" s="20"/>
      <c r="ABA68" s="20"/>
      <c r="ABB68" s="20"/>
      <c r="ABC68" s="20"/>
      <c r="ABD68" s="20"/>
      <c r="ABE68" s="20"/>
      <c r="ABF68" s="20"/>
      <c r="ABG68" s="20"/>
      <c r="ABH68" s="20"/>
      <c r="ABI68" s="20"/>
      <c r="ABJ68" s="20"/>
      <c r="ABK68" s="20"/>
      <c r="ABL68" s="20"/>
      <c r="ABM68" s="20"/>
      <c r="ABN68" s="20"/>
      <c r="ABO68" s="20"/>
      <c r="ABP68" s="20"/>
      <c r="ABQ68" s="20"/>
      <c r="ABR68" s="20"/>
      <c r="ABS68" s="20"/>
      <c r="ABT68" s="20"/>
      <c r="ABU68" s="20"/>
      <c r="ABV68" s="20"/>
      <c r="ABW68" s="20"/>
      <c r="ABX68" s="20"/>
      <c r="ABY68" s="20"/>
      <c r="ABZ68" s="20"/>
      <c r="ACA68" s="20"/>
      <c r="ACB68" s="20"/>
      <c r="ACC68" s="20"/>
      <c r="ACD68" s="20"/>
      <c r="ACE68" s="20"/>
      <c r="ACF68" s="20"/>
      <c r="ACG68" s="20"/>
      <c r="ACH68" s="20"/>
      <c r="ACI68" s="20"/>
      <c r="ACJ68" s="20"/>
      <c r="ACK68" s="20"/>
      <c r="ACL68" s="20"/>
      <c r="ACM68" s="20"/>
      <c r="ACN68" s="20"/>
      <c r="ACO68" s="20"/>
      <c r="ACP68" s="20"/>
      <c r="ACQ68" s="20"/>
    </row>
    <row r="69" spans="1:771" s="62" customFormat="1" ht="323.10000000000002">
      <c r="A69" s="57"/>
      <c r="B69" s="61" t="s">
        <v>342</v>
      </c>
      <c r="D69" s="61" t="s">
        <v>343</v>
      </c>
      <c r="F69" s="63" t="s">
        <v>254</v>
      </c>
      <c r="H69" s="61" t="s">
        <v>298</v>
      </c>
      <c r="J69" s="61" t="s">
        <v>306</v>
      </c>
      <c r="L69" s="61" t="s">
        <v>74</v>
      </c>
      <c r="N69" s="61" t="s">
        <v>178</v>
      </c>
      <c r="P69" s="61" t="s">
        <v>339</v>
      </c>
      <c r="R69" s="64" t="s">
        <v>344</v>
      </c>
      <c r="T69" s="73" t="s">
        <v>265</v>
      </c>
      <c r="U69" s="66"/>
      <c r="V69" s="67" t="s">
        <v>79</v>
      </c>
      <c r="W69" s="68"/>
      <c r="X69" s="67" t="s">
        <v>80</v>
      </c>
      <c r="Y69" s="68"/>
      <c r="Z69" s="67" t="s">
        <v>80</v>
      </c>
      <c r="AA69" s="68"/>
      <c r="AB69" s="67" t="s">
        <v>80</v>
      </c>
      <c r="AD69" s="63" t="s">
        <v>341</v>
      </c>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c r="IW69" s="20"/>
      <c r="IX69" s="20"/>
      <c r="IY69" s="20"/>
      <c r="IZ69" s="20"/>
      <c r="JA69" s="20"/>
      <c r="JB69" s="20"/>
      <c r="JC69" s="20"/>
      <c r="JD69" s="20"/>
      <c r="JE69" s="20"/>
      <c r="JF69" s="20"/>
      <c r="JG69" s="20"/>
      <c r="JH69" s="20"/>
      <c r="JI69" s="20"/>
      <c r="JJ69" s="20"/>
      <c r="JK69" s="20"/>
      <c r="JL69" s="20"/>
      <c r="JM69" s="20"/>
      <c r="JN69" s="20"/>
      <c r="JO69" s="20"/>
      <c r="JP69" s="20"/>
      <c r="JQ69" s="20"/>
      <c r="JR69" s="20"/>
      <c r="JS69" s="20"/>
      <c r="JT69" s="20"/>
      <c r="JU69" s="20"/>
      <c r="JV69" s="20"/>
      <c r="JW69" s="20"/>
      <c r="JX69" s="20"/>
      <c r="JY69" s="20"/>
      <c r="JZ69" s="20"/>
      <c r="KA69" s="20"/>
      <c r="KB69" s="20"/>
      <c r="KC69" s="20"/>
      <c r="KD69" s="20"/>
      <c r="KE69" s="20"/>
      <c r="KF69" s="20"/>
      <c r="KG69" s="20"/>
      <c r="KH69" s="20"/>
      <c r="KI69" s="20"/>
      <c r="KJ69" s="20"/>
      <c r="KK69" s="20"/>
      <c r="KL69" s="20"/>
      <c r="KM69" s="20"/>
      <c r="KN69" s="20"/>
      <c r="KO69" s="20"/>
      <c r="KP69" s="20"/>
      <c r="KQ69" s="20"/>
      <c r="KR69" s="20"/>
      <c r="KS69" s="20"/>
      <c r="KT69" s="20"/>
      <c r="KU69" s="20"/>
      <c r="KV69" s="20"/>
      <c r="KW69" s="20"/>
      <c r="KX69" s="20"/>
      <c r="KY69" s="20"/>
      <c r="KZ69" s="20"/>
      <c r="LA69" s="20"/>
      <c r="LB69" s="20"/>
      <c r="LC69" s="20"/>
      <c r="LD69" s="20"/>
      <c r="LE69" s="20"/>
      <c r="LF69" s="20"/>
      <c r="LG69" s="20"/>
      <c r="LH69" s="20"/>
      <c r="LI69" s="20"/>
      <c r="LJ69" s="20"/>
      <c r="LK69" s="20"/>
      <c r="LL69" s="20"/>
      <c r="LM69" s="20"/>
      <c r="LN69" s="20"/>
      <c r="LO69" s="20"/>
      <c r="LP69" s="20"/>
      <c r="LQ69" s="20"/>
      <c r="LR69" s="20"/>
      <c r="LS69" s="20"/>
      <c r="LT69" s="20"/>
      <c r="LU69" s="20"/>
      <c r="LV69" s="20"/>
      <c r="LW69" s="20"/>
      <c r="LX69" s="20"/>
      <c r="LY69" s="20"/>
      <c r="LZ69" s="20"/>
      <c r="MA69" s="20"/>
      <c r="MB69" s="20"/>
      <c r="MC69" s="20"/>
      <c r="MD69" s="20"/>
      <c r="ME69" s="20"/>
      <c r="MF69" s="20"/>
      <c r="MG69" s="20"/>
      <c r="MH69" s="20"/>
      <c r="MI69" s="20"/>
      <c r="MJ69" s="20"/>
      <c r="MK69" s="20"/>
      <c r="ML69" s="20"/>
      <c r="MM69" s="20"/>
      <c r="MN69" s="20"/>
      <c r="MO69" s="20"/>
      <c r="MP69" s="20"/>
      <c r="MQ69" s="20"/>
      <c r="MR69" s="20"/>
      <c r="MS69" s="20"/>
      <c r="MT69" s="20"/>
      <c r="MU69" s="20"/>
      <c r="MV69" s="20"/>
      <c r="MW69" s="20"/>
      <c r="MX69" s="20"/>
      <c r="MY69" s="20"/>
      <c r="MZ69" s="20"/>
      <c r="NA69" s="20"/>
      <c r="NB69" s="20"/>
      <c r="NC69" s="20"/>
      <c r="ND69" s="20"/>
      <c r="NE69" s="20"/>
      <c r="NF69" s="20"/>
      <c r="NG69" s="20"/>
      <c r="NH69" s="20"/>
      <c r="NI69" s="20"/>
      <c r="NJ69" s="20"/>
      <c r="NK69" s="20"/>
      <c r="NL69" s="20"/>
      <c r="NM69" s="20"/>
      <c r="NN69" s="20"/>
      <c r="NO69" s="20"/>
      <c r="NP69" s="20"/>
      <c r="NQ69" s="20"/>
      <c r="NR69" s="20"/>
      <c r="NS69" s="20"/>
      <c r="NT69" s="20"/>
      <c r="NU69" s="20"/>
      <c r="NV69" s="20"/>
      <c r="NW69" s="20"/>
      <c r="NX69" s="20"/>
      <c r="NY69" s="20"/>
      <c r="NZ69" s="20"/>
      <c r="OA69" s="20"/>
      <c r="OB69" s="20"/>
      <c r="OC69" s="20"/>
      <c r="OD69" s="20"/>
      <c r="OE69" s="20"/>
      <c r="OF69" s="20"/>
      <c r="OG69" s="20"/>
      <c r="OH69" s="20"/>
      <c r="OI69" s="20"/>
      <c r="OJ69" s="20"/>
      <c r="OK69" s="20"/>
      <c r="OL69" s="20"/>
      <c r="OM69" s="20"/>
      <c r="ON69" s="20"/>
      <c r="OO69" s="20"/>
      <c r="OP69" s="20"/>
      <c r="OQ69" s="20"/>
      <c r="OR69" s="20"/>
      <c r="OS69" s="20"/>
      <c r="OT69" s="20"/>
      <c r="OU69" s="20"/>
      <c r="OV69" s="20"/>
      <c r="OW69" s="20"/>
      <c r="OX69" s="20"/>
      <c r="OY69" s="20"/>
      <c r="OZ69" s="20"/>
      <c r="PA69" s="20"/>
      <c r="PB69" s="20"/>
      <c r="PC69" s="20"/>
      <c r="PD69" s="20"/>
      <c r="PE69" s="20"/>
      <c r="PF69" s="20"/>
      <c r="PG69" s="20"/>
      <c r="PH69" s="20"/>
      <c r="PI69" s="20"/>
      <c r="PJ69" s="20"/>
      <c r="PK69" s="20"/>
      <c r="PL69" s="20"/>
      <c r="PM69" s="20"/>
      <c r="PN69" s="20"/>
      <c r="PO69" s="20"/>
      <c r="PP69" s="20"/>
      <c r="PQ69" s="20"/>
      <c r="PR69" s="20"/>
      <c r="PS69" s="20"/>
      <c r="PT69" s="20"/>
      <c r="PU69" s="20"/>
      <c r="PV69" s="20"/>
      <c r="PW69" s="20"/>
      <c r="PX69" s="20"/>
      <c r="PY69" s="20"/>
      <c r="PZ69" s="20"/>
      <c r="QA69" s="20"/>
      <c r="QB69" s="20"/>
      <c r="QC69" s="20"/>
      <c r="QD69" s="20"/>
      <c r="QE69" s="20"/>
      <c r="QF69" s="20"/>
      <c r="QG69" s="20"/>
      <c r="QH69" s="20"/>
      <c r="QI69" s="20"/>
      <c r="QJ69" s="20"/>
      <c r="QK69" s="20"/>
      <c r="QL69" s="20"/>
      <c r="QM69" s="20"/>
      <c r="QN69" s="20"/>
      <c r="QO69" s="20"/>
      <c r="QP69" s="20"/>
      <c r="QQ69" s="20"/>
      <c r="QR69" s="20"/>
      <c r="QS69" s="20"/>
      <c r="QT69" s="20"/>
      <c r="QU69" s="20"/>
      <c r="QV69" s="20"/>
      <c r="QW69" s="20"/>
      <c r="QX69" s="20"/>
      <c r="QY69" s="20"/>
      <c r="QZ69" s="20"/>
      <c r="RA69" s="20"/>
      <c r="RB69" s="20"/>
      <c r="RC69" s="20"/>
      <c r="RD69" s="20"/>
      <c r="RE69" s="20"/>
      <c r="RF69" s="20"/>
      <c r="RG69" s="20"/>
      <c r="RH69" s="20"/>
      <c r="RI69" s="20"/>
      <c r="RJ69" s="20"/>
      <c r="RK69" s="20"/>
      <c r="RL69" s="20"/>
      <c r="RM69" s="20"/>
      <c r="RN69" s="20"/>
      <c r="RO69" s="20"/>
      <c r="RP69" s="20"/>
      <c r="RQ69" s="20"/>
      <c r="RR69" s="20"/>
      <c r="RS69" s="20"/>
      <c r="RT69" s="20"/>
      <c r="RU69" s="20"/>
      <c r="RV69" s="20"/>
      <c r="RW69" s="20"/>
      <c r="RX69" s="20"/>
      <c r="RY69" s="20"/>
      <c r="RZ69" s="20"/>
      <c r="SA69" s="20"/>
      <c r="SB69" s="20"/>
      <c r="SC69" s="20"/>
      <c r="SD69" s="20"/>
      <c r="SE69" s="20"/>
      <c r="SF69" s="20"/>
      <c r="SG69" s="20"/>
      <c r="SH69" s="20"/>
      <c r="SI69" s="20"/>
      <c r="SJ69" s="20"/>
      <c r="SK69" s="20"/>
      <c r="SL69" s="20"/>
      <c r="SM69" s="20"/>
      <c r="SN69" s="20"/>
      <c r="SO69" s="20"/>
      <c r="SP69" s="20"/>
      <c r="SQ69" s="20"/>
      <c r="SR69" s="20"/>
      <c r="SS69" s="20"/>
      <c r="ST69" s="20"/>
      <c r="SU69" s="20"/>
      <c r="SV69" s="20"/>
      <c r="SW69" s="20"/>
      <c r="SX69" s="20"/>
      <c r="SY69" s="20"/>
      <c r="SZ69" s="20"/>
      <c r="TA69" s="20"/>
      <c r="TB69" s="20"/>
      <c r="TC69" s="20"/>
      <c r="TD69" s="20"/>
      <c r="TE69" s="20"/>
      <c r="TF69" s="20"/>
      <c r="TG69" s="20"/>
      <c r="TH69" s="20"/>
      <c r="TI69" s="20"/>
      <c r="TJ69" s="20"/>
      <c r="TK69" s="20"/>
      <c r="TL69" s="20"/>
      <c r="TM69" s="20"/>
      <c r="TN69" s="20"/>
      <c r="TO69" s="20"/>
      <c r="TP69" s="20"/>
      <c r="TQ69" s="20"/>
      <c r="TR69" s="20"/>
      <c r="TS69" s="20"/>
      <c r="TT69" s="20"/>
      <c r="TU69" s="20"/>
      <c r="TV69" s="20"/>
      <c r="TW69" s="20"/>
      <c r="TX69" s="20"/>
      <c r="TY69" s="20"/>
      <c r="TZ69" s="20"/>
      <c r="UA69" s="20"/>
      <c r="UB69" s="20"/>
      <c r="UC69" s="20"/>
      <c r="UD69" s="20"/>
      <c r="UE69" s="20"/>
      <c r="UF69" s="20"/>
      <c r="UG69" s="20"/>
      <c r="UH69" s="20"/>
      <c r="UI69" s="20"/>
      <c r="UJ69" s="20"/>
      <c r="UK69" s="20"/>
      <c r="UL69" s="20"/>
      <c r="UM69" s="20"/>
      <c r="UN69" s="20"/>
      <c r="UO69" s="20"/>
      <c r="UP69" s="20"/>
      <c r="UQ69" s="20"/>
      <c r="UR69" s="20"/>
      <c r="US69" s="20"/>
      <c r="UT69" s="20"/>
      <c r="UU69" s="20"/>
      <c r="UV69" s="20"/>
      <c r="UW69" s="20"/>
      <c r="UX69" s="20"/>
      <c r="UY69" s="20"/>
      <c r="UZ69" s="20"/>
      <c r="VA69" s="20"/>
      <c r="VB69" s="20"/>
      <c r="VC69" s="20"/>
      <c r="VD69" s="20"/>
      <c r="VE69" s="20"/>
      <c r="VF69" s="20"/>
      <c r="VG69" s="20"/>
      <c r="VH69" s="20"/>
      <c r="VI69" s="20"/>
      <c r="VJ69" s="20"/>
      <c r="VK69" s="20"/>
      <c r="VL69" s="20"/>
      <c r="VM69" s="20"/>
      <c r="VN69" s="20"/>
      <c r="VO69" s="20"/>
      <c r="VP69" s="20"/>
      <c r="VQ69" s="20"/>
      <c r="VR69" s="20"/>
      <c r="VS69" s="20"/>
      <c r="VT69" s="20"/>
      <c r="VU69" s="20"/>
      <c r="VV69" s="20"/>
      <c r="VW69" s="20"/>
      <c r="VX69" s="20"/>
      <c r="VY69" s="20"/>
      <c r="VZ69" s="20"/>
      <c r="WA69" s="20"/>
      <c r="WB69" s="20"/>
      <c r="WC69" s="20"/>
      <c r="WD69" s="20"/>
      <c r="WE69" s="20"/>
      <c r="WF69" s="20"/>
      <c r="WG69" s="20"/>
      <c r="WH69" s="20"/>
      <c r="WI69" s="20"/>
      <c r="WJ69" s="20"/>
      <c r="WK69" s="20"/>
      <c r="WL69" s="20"/>
      <c r="WM69" s="20"/>
      <c r="WN69" s="20"/>
      <c r="WO69" s="20"/>
      <c r="WP69" s="20"/>
      <c r="WQ69" s="20"/>
      <c r="WR69" s="20"/>
      <c r="WS69" s="20"/>
      <c r="WT69" s="20"/>
      <c r="WU69" s="20"/>
      <c r="WV69" s="20"/>
      <c r="WW69" s="20"/>
      <c r="WX69" s="20"/>
      <c r="WY69" s="20"/>
      <c r="WZ69" s="20"/>
      <c r="XA69" s="20"/>
      <c r="XB69" s="20"/>
      <c r="XC69" s="20"/>
      <c r="XD69" s="20"/>
      <c r="XE69" s="20"/>
      <c r="XF69" s="20"/>
      <c r="XG69" s="20"/>
      <c r="XH69" s="20"/>
      <c r="XI69" s="20"/>
      <c r="XJ69" s="20"/>
      <c r="XK69" s="20"/>
      <c r="XL69" s="20"/>
      <c r="XM69" s="20"/>
      <c r="XN69" s="20"/>
      <c r="XO69" s="20"/>
      <c r="XP69" s="20"/>
      <c r="XQ69" s="20"/>
      <c r="XR69" s="20"/>
      <c r="XS69" s="20"/>
      <c r="XT69" s="20"/>
      <c r="XU69" s="20"/>
      <c r="XV69" s="20"/>
      <c r="XW69" s="20"/>
      <c r="XX69" s="20"/>
      <c r="XY69" s="20"/>
      <c r="XZ69" s="20"/>
      <c r="YA69" s="20"/>
      <c r="YB69" s="20"/>
      <c r="YC69" s="20"/>
      <c r="YD69" s="20"/>
      <c r="YE69" s="20"/>
      <c r="YF69" s="20"/>
      <c r="YG69" s="20"/>
      <c r="YH69" s="20"/>
      <c r="YI69" s="20"/>
      <c r="YJ69" s="20"/>
      <c r="YK69" s="20"/>
      <c r="YL69" s="20"/>
      <c r="YM69" s="20"/>
      <c r="YN69" s="20"/>
      <c r="YO69" s="20"/>
      <c r="YP69" s="20"/>
      <c r="YQ69" s="20"/>
      <c r="YR69" s="20"/>
      <c r="YS69" s="20"/>
      <c r="YT69" s="20"/>
      <c r="YU69" s="20"/>
      <c r="YV69" s="20"/>
      <c r="YW69" s="20"/>
      <c r="YX69" s="20"/>
      <c r="YY69" s="20"/>
      <c r="YZ69" s="20"/>
      <c r="ZA69" s="20"/>
      <c r="ZB69" s="20"/>
      <c r="ZC69" s="20"/>
      <c r="ZD69" s="20"/>
      <c r="ZE69" s="20"/>
      <c r="ZF69" s="20"/>
      <c r="ZG69" s="20"/>
      <c r="ZH69" s="20"/>
      <c r="ZI69" s="20"/>
      <c r="ZJ69" s="20"/>
      <c r="ZK69" s="20"/>
      <c r="ZL69" s="20"/>
      <c r="ZM69" s="20"/>
      <c r="ZN69" s="20"/>
      <c r="ZO69" s="20"/>
      <c r="ZP69" s="20"/>
      <c r="ZQ69" s="20"/>
      <c r="ZR69" s="20"/>
      <c r="ZS69" s="20"/>
      <c r="ZT69" s="20"/>
      <c r="ZU69" s="20"/>
      <c r="ZV69" s="20"/>
      <c r="ZW69" s="20"/>
      <c r="ZX69" s="20"/>
      <c r="ZY69" s="20"/>
      <c r="ZZ69" s="20"/>
      <c r="AAA69" s="20"/>
      <c r="AAB69" s="20"/>
      <c r="AAC69" s="20"/>
      <c r="AAD69" s="20"/>
      <c r="AAE69" s="20"/>
      <c r="AAF69" s="20"/>
      <c r="AAG69" s="20"/>
      <c r="AAH69" s="20"/>
      <c r="AAI69" s="20"/>
      <c r="AAJ69" s="20"/>
      <c r="AAK69" s="20"/>
      <c r="AAL69" s="20"/>
      <c r="AAM69" s="20"/>
      <c r="AAN69" s="20"/>
      <c r="AAO69" s="20"/>
      <c r="AAP69" s="20"/>
      <c r="AAQ69" s="20"/>
      <c r="AAR69" s="20"/>
      <c r="AAS69" s="20"/>
      <c r="AAT69" s="20"/>
      <c r="AAU69" s="20"/>
      <c r="AAV69" s="20"/>
      <c r="AAW69" s="20"/>
      <c r="AAX69" s="20"/>
      <c r="AAY69" s="20"/>
      <c r="AAZ69" s="20"/>
      <c r="ABA69" s="20"/>
      <c r="ABB69" s="20"/>
      <c r="ABC69" s="20"/>
      <c r="ABD69" s="20"/>
      <c r="ABE69" s="20"/>
      <c r="ABF69" s="20"/>
      <c r="ABG69" s="20"/>
      <c r="ABH69" s="20"/>
      <c r="ABI69" s="20"/>
      <c r="ABJ69" s="20"/>
      <c r="ABK69" s="20"/>
      <c r="ABL69" s="20"/>
      <c r="ABM69" s="20"/>
      <c r="ABN69" s="20"/>
      <c r="ABO69" s="20"/>
      <c r="ABP69" s="20"/>
      <c r="ABQ69" s="20"/>
      <c r="ABR69" s="20"/>
      <c r="ABS69" s="20"/>
      <c r="ABT69" s="20"/>
      <c r="ABU69" s="20"/>
      <c r="ABV69" s="20"/>
      <c r="ABW69" s="20"/>
      <c r="ABX69" s="20"/>
      <c r="ABY69" s="20"/>
      <c r="ABZ69" s="20"/>
      <c r="ACA69" s="20"/>
      <c r="ACB69" s="20"/>
      <c r="ACC69" s="20"/>
      <c r="ACD69" s="20"/>
      <c r="ACE69" s="20"/>
      <c r="ACF69" s="20"/>
      <c r="ACG69" s="20"/>
      <c r="ACH69" s="20"/>
      <c r="ACI69" s="20"/>
      <c r="ACJ69" s="20"/>
      <c r="ACK69" s="20"/>
      <c r="ACL69" s="20"/>
      <c r="ACM69" s="20"/>
      <c r="ACN69" s="20"/>
      <c r="ACO69" s="20"/>
      <c r="ACP69" s="20"/>
      <c r="ACQ69" s="20"/>
    </row>
    <row r="70" spans="1:771" s="62" customFormat="1" ht="119.1">
      <c r="A70" s="57"/>
      <c r="B70" s="61" t="s">
        <v>345</v>
      </c>
      <c r="D70" s="61" t="s">
        <v>346</v>
      </c>
      <c r="F70" s="63" t="s">
        <v>254</v>
      </c>
      <c r="H70" s="61" t="s">
        <v>298</v>
      </c>
      <c r="J70" s="61" t="s">
        <v>306</v>
      </c>
      <c r="L70" s="61" t="s">
        <v>74</v>
      </c>
      <c r="N70" s="61" t="s">
        <v>178</v>
      </c>
      <c r="P70" s="61" t="s">
        <v>339</v>
      </c>
      <c r="R70" s="64" t="s">
        <v>347</v>
      </c>
      <c r="T70" s="73" t="s">
        <v>265</v>
      </c>
      <c r="U70" s="66"/>
      <c r="V70" s="67" t="s">
        <v>79</v>
      </c>
      <c r="W70" s="68"/>
      <c r="X70" s="67" t="s">
        <v>80</v>
      </c>
      <c r="Y70" s="68"/>
      <c r="Z70" s="67" t="s">
        <v>80</v>
      </c>
      <c r="AA70" s="68"/>
      <c r="AB70" s="67" t="s">
        <v>80</v>
      </c>
      <c r="AD70" s="63" t="s">
        <v>341</v>
      </c>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c r="IW70" s="20"/>
      <c r="IX70" s="20"/>
      <c r="IY70" s="20"/>
      <c r="IZ70" s="20"/>
      <c r="JA70" s="20"/>
      <c r="JB70" s="20"/>
      <c r="JC70" s="20"/>
      <c r="JD70" s="20"/>
      <c r="JE70" s="20"/>
      <c r="JF70" s="20"/>
      <c r="JG70" s="20"/>
      <c r="JH70" s="20"/>
      <c r="JI70" s="20"/>
      <c r="JJ70" s="20"/>
      <c r="JK70" s="20"/>
      <c r="JL70" s="20"/>
      <c r="JM70" s="20"/>
      <c r="JN70" s="20"/>
      <c r="JO70" s="20"/>
      <c r="JP70" s="20"/>
      <c r="JQ70" s="20"/>
      <c r="JR70" s="20"/>
      <c r="JS70" s="20"/>
      <c r="JT70" s="20"/>
      <c r="JU70" s="20"/>
      <c r="JV70" s="20"/>
      <c r="JW70" s="20"/>
      <c r="JX70" s="20"/>
      <c r="JY70" s="20"/>
      <c r="JZ70" s="20"/>
      <c r="KA70" s="20"/>
      <c r="KB70" s="20"/>
      <c r="KC70" s="20"/>
      <c r="KD70" s="20"/>
      <c r="KE70" s="20"/>
      <c r="KF70" s="20"/>
      <c r="KG70" s="20"/>
      <c r="KH70" s="20"/>
      <c r="KI70" s="20"/>
      <c r="KJ70" s="20"/>
      <c r="KK70" s="20"/>
      <c r="KL70" s="20"/>
      <c r="KM70" s="20"/>
      <c r="KN70" s="20"/>
      <c r="KO70" s="20"/>
      <c r="KP70" s="20"/>
      <c r="KQ70" s="20"/>
      <c r="KR70" s="20"/>
      <c r="KS70" s="20"/>
      <c r="KT70" s="20"/>
      <c r="KU70" s="20"/>
      <c r="KV70" s="20"/>
      <c r="KW70" s="20"/>
      <c r="KX70" s="20"/>
      <c r="KY70" s="20"/>
      <c r="KZ70" s="20"/>
      <c r="LA70" s="20"/>
      <c r="LB70" s="20"/>
      <c r="LC70" s="20"/>
      <c r="LD70" s="20"/>
      <c r="LE70" s="20"/>
      <c r="LF70" s="20"/>
      <c r="LG70" s="20"/>
      <c r="LH70" s="20"/>
      <c r="LI70" s="20"/>
      <c r="LJ70" s="20"/>
      <c r="LK70" s="20"/>
      <c r="LL70" s="20"/>
      <c r="LM70" s="20"/>
      <c r="LN70" s="20"/>
      <c r="LO70" s="20"/>
      <c r="LP70" s="20"/>
      <c r="LQ70" s="20"/>
      <c r="LR70" s="20"/>
      <c r="LS70" s="20"/>
      <c r="LT70" s="20"/>
      <c r="LU70" s="20"/>
      <c r="LV70" s="20"/>
      <c r="LW70" s="20"/>
      <c r="LX70" s="20"/>
      <c r="LY70" s="20"/>
      <c r="LZ70" s="20"/>
      <c r="MA70" s="20"/>
      <c r="MB70" s="20"/>
      <c r="MC70" s="20"/>
      <c r="MD70" s="20"/>
      <c r="ME70" s="20"/>
      <c r="MF70" s="20"/>
      <c r="MG70" s="20"/>
      <c r="MH70" s="20"/>
      <c r="MI70" s="20"/>
      <c r="MJ70" s="20"/>
      <c r="MK70" s="20"/>
      <c r="ML70" s="20"/>
      <c r="MM70" s="20"/>
      <c r="MN70" s="20"/>
      <c r="MO70" s="20"/>
      <c r="MP70" s="20"/>
      <c r="MQ70" s="20"/>
      <c r="MR70" s="20"/>
      <c r="MS70" s="20"/>
      <c r="MT70" s="20"/>
      <c r="MU70" s="20"/>
      <c r="MV70" s="20"/>
      <c r="MW70" s="20"/>
      <c r="MX70" s="20"/>
      <c r="MY70" s="20"/>
      <c r="MZ70" s="20"/>
      <c r="NA70" s="20"/>
      <c r="NB70" s="20"/>
      <c r="NC70" s="20"/>
      <c r="ND70" s="20"/>
      <c r="NE70" s="20"/>
      <c r="NF70" s="20"/>
      <c r="NG70" s="20"/>
      <c r="NH70" s="20"/>
      <c r="NI70" s="20"/>
      <c r="NJ70" s="20"/>
      <c r="NK70" s="20"/>
      <c r="NL70" s="20"/>
      <c r="NM70" s="20"/>
      <c r="NN70" s="20"/>
      <c r="NO70" s="20"/>
      <c r="NP70" s="20"/>
      <c r="NQ70" s="20"/>
      <c r="NR70" s="20"/>
      <c r="NS70" s="20"/>
      <c r="NT70" s="20"/>
      <c r="NU70" s="20"/>
      <c r="NV70" s="20"/>
      <c r="NW70" s="20"/>
      <c r="NX70" s="20"/>
      <c r="NY70" s="20"/>
      <c r="NZ70" s="20"/>
      <c r="OA70" s="20"/>
      <c r="OB70" s="20"/>
      <c r="OC70" s="20"/>
      <c r="OD70" s="20"/>
      <c r="OE70" s="20"/>
      <c r="OF70" s="20"/>
      <c r="OG70" s="20"/>
      <c r="OH70" s="20"/>
      <c r="OI70" s="20"/>
      <c r="OJ70" s="20"/>
      <c r="OK70" s="20"/>
      <c r="OL70" s="20"/>
      <c r="OM70" s="20"/>
      <c r="ON70" s="20"/>
      <c r="OO70" s="20"/>
      <c r="OP70" s="20"/>
      <c r="OQ70" s="20"/>
      <c r="OR70" s="20"/>
      <c r="OS70" s="20"/>
      <c r="OT70" s="20"/>
      <c r="OU70" s="20"/>
      <c r="OV70" s="20"/>
      <c r="OW70" s="20"/>
      <c r="OX70" s="20"/>
      <c r="OY70" s="20"/>
      <c r="OZ70" s="20"/>
      <c r="PA70" s="20"/>
      <c r="PB70" s="20"/>
      <c r="PC70" s="20"/>
      <c r="PD70" s="20"/>
      <c r="PE70" s="20"/>
      <c r="PF70" s="20"/>
      <c r="PG70" s="20"/>
      <c r="PH70" s="20"/>
      <c r="PI70" s="20"/>
      <c r="PJ70" s="20"/>
      <c r="PK70" s="20"/>
      <c r="PL70" s="20"/>
      <c r="PM70" s="20"/>
      <c r="PN70" s="20"/>
      <c r="PO70" s="20"/>
      <c r="PP70" s="20"/>
      <c r="PQ70" s="20"/>
      <c r="PR70" s="20"/>
      <c r="PS70" s="20"/>
      <c r="PT70" s="20"/>
      <c r="PU70" s="20"/>
      <c r="PV70" s="20"/>
      <c r="PW70" s="20"/>
      <c r="PX70" s="20"/>
      <c r="PY70" s="20"/>
      <c r="PZ70" s="20"/>
      <c r="QA70" s="20"/>
      <c r="QB70" s="20"/>
      <c r="QC70" s="20"/>
      <c r="QD70" s="20"/>
      <c r="QE70" s="20"/>
      <c r="QF70" s="20"/>
      <c r="QG70" s="20"/>
      <c r="QH70" s="20"/>
      <c r="QI70" s="20"/>
      <c r="QJ70" s="20"/>
      <c r="QK70" s="20"/>
      <c r="QL70" s="20"/>
      <c r="QM70" s="20"/>
      <c r="QN70" s="20"/>
      <c r="QO70" s="20"/>
      <c r="QP70" s="20"/>
      <c r="QQ70" s="20"/>
      <c r="QR70" s="20"/>
      <c r="QS70" s="20"/>
      <c r="QT70" s="20"/>
      <c r="QU70" s="20"/>
      <c r="QV70" s="20"/>
      <c r="QW70" s="20"/>
      <c r="QX70" s="20"/>
      <c r="QY70" s="20"/>
      <c r="QZ70" s="20"/>
      <c r="RA70" s="20"/>
      <c r="RB70" s="20"/>
      <c r="RC70" s="20"/>
      <c r="RD70" s="20"/>
      <c r="RE70" s="20"/>
      <c r="RF70" s="20"/>
      <c r="RG70" s="20"/>
      <c r="RH70" s="20"/>
      <c r="RI70" s="20"/>
      <c r="RJ70" s="20"/>
      <c r="RK70" s="20"/>
      <c r="RL70" s="20"/>
      <c r="RM70" s="20"/>
      <c r="RN70" s="20"/>
      <c r="RO70" s="20"/>
      <c r="RP70" s="20"/>
      <c r="RQ70" s="20"/>
      <c r="RR70" s="20"/>
      <c r="RS70" s="20"/>
      <c r="RT70" s="20"/>
      <c r="RU70" s="20"/>
      <c r="RV70" s="20"/>
      <c r="RW70" s="20"/>
      <c r="RX70" s="20"/>
      <c r="RY70" s="20"/>
      <c r="RZ70" s="20"/>
      <c r="SA70" s="20"/>
      <c r="SB70" s="20"/>
      <c r="SC70" s="20"/>
      <c r="SD70" s="20"/>
      <c r="SE70" s="20"/>
      <c r="SF70" s="20"/>
      <c r="SG70" s="20"/>
      <c r="SH70" s="20"/>
      <c r="SI70" s="20"/>
      <c r="SJ70" s="20"/>
      <c r="SK70" s="20"/>
      <c r="SL70" s="20"/>
      <c r="SM70" s="20"/>
      <c r="SN70" s="20"/>
      <c r="SO70" s="20"/>
      <c r="SP70" s="20"/>
      <c r="SQ70" s="20"/>
      <c r="SR70" s="20"/>
      <c r="SS70" s="20"/>
      <c r="ST70" s="20"/>
      <c r="SU70" s="20"/>
      <c r="SV70" s="20"/>
      <c r="SW70" s="20"/>
      <c r="SX70" s="20"/>
      <c r="SY70" s="20"/>
      <c r="SZ70" s="20"/>
      <c r="TA70" s="20"/>
      <c r="TB70" s="20"/>
      <c r="TC70" s="20"/>
      <c r="TD70" s="20"/>
      <c r="TE70" s="20"/>
      <c r="TF70" s="20"/>
      <c r="TG70" s="20"/>
      <c r="TH70" s="20"/>
      <c r="TI70" s="20"/>
      <c r="TJ70" s="20"/>
      <c r="TK70" s="20"/>
      <c r="TL70" s="20"/>
      <c r="TM70" s="20"/>
      <c r="TN70" s="20"/>
      <c r="TO70" s="20"/>
      <c r="TP70" s="20"/>
      <c r="TQ70" s="20"/>
      <c r="TR70" s="20"/>
      <c r="TS70" s="20"/>
      <c r="TT70" s="20"/>
      <c r="TU70" s="20"/>
      <c r="TV70" s="20"/>
      <c r="TW70" s="20"/>
      <c r="TX70" s="20"/>
      <c r="TY70" s="20"/>
      <c r="TZ70" s="20"/>
      <c r="UA70" s="20"/>
      <c r="UB70" s="20"/>
      <c r="UC70" s="20"/>
      <c r="UD70" s="20"/>
      <c r="UE70" s="20"/>
      <c r="UF70" s="20"/>
      <c r="UG70" s="20"/>
      <c r="UH70" s="20"/>
      <c r="UI70" s="20"/>
      <c r="UJ70" s="20"/>
      <c r="UK70" s="20"/>
      <c r="UL70" s="20"/>
      <c r="UM70" s="20"/>
      <c r="UN70" s="20"/>
      <c r="UO70" s="20"/>
      <c r="UP70" s="20"/>
      <c r="UQ70" s="20"/>
      <c r="UR70" s="20"/>
      <c r="US70" s="20"/>
      <c r="UT70" s="20"/>
      <c r="UU70" s="20"/>
      <c r="UV70" s="20"/>
      <c r="UW70" s="20"/>
      <c r="UX70" s="20"/>
      <c r="UY70" s="20"/>
      <c r="UZ70" s="20"/>
      <c r="VA70" s="20"/>
      <c r="VB70" s="20"/>
      <c r="VC70" s="20"/>
      <c r="VD70" s="20"/>
      <c r="VE70" s="20"/>
      <c r="VF70" s="20"/>
      <c r="VG70" s="20"/>
      <c r="VH70" s="20"/>
      <c r="VI70" s="20"/>
      <c r="VJ70" s="20"/>
      <c r="VK70" s="20"/>
      <c r="VL70" s="20"/>
      <c r="VM70" s="20"/>
      <c r="VN70" s="20"/>
      <c r="VO70" s="20"/>
      <c r="VP70" s="20"/>
      <c r="VQ70" s="20"/>
      <c r="VR70" s="20"/>
      <c r="VS70" s="20"/>
      <c r="VT70" s="20"/>
      <c r="VU70" s="20"/>
      <c r="VV70" s="20"/>
      <c r="VW70" s="20"/>
      <c r="VX70" s="20"/>
      <c r="VY70" s="20"/>
      <c r="VZ70" s="20"/>
      <c r="WA70" s="20"/>
      <c r="WB70" s="20"/>
      <c r="WC70" s="20"/>
      <c r="WD70" s="20"/>
      <c r="WE70" s="20"/>
      <c r="WF70" s="20"/>
      <c r="WG70" s="20"/>
      <c r="WH70" s="20"/>
      <c r="WI70" s="20"/>
      <c r="WJ70" s="20"/>
      <c r="WK70" s="20"/>
      <c r="WL70" s="20"/>
      <c r="WM70" s="20"/>
      <c r="WN70" s="20"/>
      <c r="WO70" s="20"/>
      <c r="WP70" s="20"/>
      <c r="WQ70" s="20"/>
      <c r="WR70" s="20"/>
      <c r="WS70" s="20"/>
      <c r="WT70" s="20"/>
      <c r="WU70" s="20"/>
      <c r="WV70" s="20"/>
      <c r="WW70" s="20"/>
      <c r="WX70" s="20"/>
      <c r="WY70" s="20"/>
      <c r="WZ70" s="20"/>
      <c r="XA70" s="20"/>
      <c r="XB70" s="20"/>
      <c r="XC70" s="20"/>
      <c r="XD70" s="20"/>
      <c r="XE70" s="20"/>
      <c r="XF70" s="20"/>
      <c r="XG70" s="20"/>
      <c r="XH70" s="20"/>
      <c r="XI70" s="20"/>
      <c r="XJ70" s="20"/>
      <c r="XK70" s="20"/>
      <c r="XL70" s="20"/>
      <c r="XM70" s="20"/>
      <c r="XN70" s="20"/>
      <c r="XO70" s="20"/>
      <c r="XP70" s="20"/>
      <c r="XQ70" s="20"/>
      <c r="XR70" s="20"/>
      <c r="XS70" s="20"/>
      <c r="XT70" s="20"/>
      <c r="XU70" s="20"/>
      <c r="XV70" s="20"/>
      <c r="XW70" s="20"/>
      <c r="XX70" s="20"/>
      <c r="XY70" s="20"/>
      <c r="XZ70" s="20"/>
      <c r="YA70" s="20"/>
      <c r="YB70" s="20"/>
      <c r="YC70" s="20"/>
      <c r="YD70" s="20"/>
      <c r="YE70" s="20"/>
      <c r="YF70" s="20"/>
      <c r="YG70" s="20"/>
      <c r="YH70" s="20"/>
      <c r="YI70" s="20"/>
      <c r="YJ70" s="20"/>
      <c r="YK70" s="20"/>
      <c r="YL70" s="20"/>
      <c r="YM70" s="20"/>
      <c r="YN70" s="20"/>
      <c r="YO70" s="20"/>
      <c r="YP70" s="20"/>
      <c r="YQ70" s="20"/>
      <c r="YR70" s="20"/>
      <c r="YS70" s="20"/>
      <c r="YT70" s="20"/>
      <c r="YU70" s="20"/>
      <c r="YV70" s="20"/>
      <c r="YW70" s="20"/>
      <c r="YX70" s="20"/>
      <c r="YY70" s="20"/>
      <c r="YZ70" s="20"/>
      <c r="ZA70" s="20"/>
      <c r="ZB70" s="20"/>
      <c r="ZC70" s="20"/>
      <c r="ZD70" s="20"/>
      <c r="ZE70" s="20"/>
      <c r="ZF70" s="20"/>
      <c r="ZG70" s="20"/>
      <c r="ZH70" s="20"/>
      <c r="ZI70" s="20"/>
      <c r="ZJ70" s="20"/>
      <c r="ZK70" s="20"/>
      <c r="ZL70" s="20"/>
      <c r="ZM70" s="20"/>
      <c r="ZN70" s="20"/>
      <c r="ZO70" s="20"/>
      <c r="ZP70" s="20"/>
      <c r="ZQ70" s="20"/>
      <c r="ZR70" s="20"/>
      <c r="ZS70" s="20"/>
      <c r="ZT70" s="20"/>
      <c r="ZU70" s="20"/>
      <c r="ZV70" s="20"/>
      <c r="ZW70" s="20"/>
      <c r="ZX70" s="20"/>
      <c r="ZY70" s="20"/>
      <c r="ZZ70" s="20"/>
      <c r="AAA70" s="20"/>
      <c r="AAB70" s="20"/>
      <c r="AAC70" s="20"/>
      <c r="AAD70" s="20"/>
      <c r="AAE70" s="20"/>
      <c r="AAF70" s="20"/>
      <c r="AAG70" s="20"/>
      <c r="AAH70" s="20"/>
      <c r="AAI70" s="20"/>
      <c r="AAJ70" s="20"/>
      <c r="AAK70" s="20"/>
      <c r="AAL70" s="20"/>
      <c r="AAM70" s="20"/>
      <c r="AAN70" s="20"/>
      <c r="AAO70" s="20"/>
      <c r="AAP70" s="20"/>
      <c r="AAQ70" s="20"/>
      <c r="AAR70" s="20"/>
      <c r="AAS70" s="20"/>
      <c r="AAT70" s="20"/>
      <c r="AAU70" s="20"/>
      <c r="AAV70" s="20"/>
      <c r="AAW70" s="20"/>
      <c r="AAX70" s="20"/>
      <c r="AAY70" s="20"/>
      <c r="AAZ70" s="20"/>
      <c r="ABA70" s="20"/>
      <c r="ABB70" s="20"/>
      <c r="ABC70" s="20"/>
      <c r="ABD70" s="20"/>
      <c r="ABE70" s="20"/>
      <c r="ABF70" s="20"/>
      <c r="ABG70" s="20"/>
      <c r="ABH70" s="20"/>
      <c r="ABI70" s="20"/>
      <c r="ABJ70" s="20"/>
      <c r="ABK70" s="20"/>
      <c r="ABL70" s="20"/>
      <c r="ABM70" s="20"/>
      <c r="ABN70" s="20"/>
      <c r="ABO70" s="20"/>
      <c r="ABP70" s="20"/>
      <c r="ABQ70" s="20"/>
      <c r="ABR70" s="20"/>
      <c r="ABS70" s="20"/>
      <c r="ABT70" s="20"/>
      <c r="ABU70" s="20"/>
      <c r="ABV70" s="20"/>
      <c r="ABW70" s="20"/>
      <c r="ABX70" s="20"/>
      <c r="ABY70" s="20"/>
      <c r="ABZ70" s="20"/>
      <c r="ACA70" s="20"/>
      <c r="ACB70" s="20"/>
      <c r="ACC70" s="20"/>
      <c r="ACD70" s="20"/>
      <c r="ACE70" s="20"/>
      <c r="ACF70" s="20"/>
      <c r="ACG70" s="20"/>
      <c r="ACH70" s="20"/>
      <c r="ACI70" s="20"/>
      <c r="ACJ70" s="20"/>
      <c r="ACK70" s="20"/>
      <c r="ACL70" s="20"/>
      <c r="ACM70" s="20"/>
      <c r="ACN70" s="20"/>
      <c r="ACO70" s="20"/>
      <c r="ACP70" s="20"/>
      <c r="ACQ70" s="20"/>
    </row>
    <row r="71" spans="1:771" s="62" customFormat="1" ht="339.95">
      <c r="A71" s="57"/>
      <c r="B71" s="61" t="s">
        <v>348</v>
      </c>
      <c r="D71" s="61" t="s">
        <v>349</v>
      </c>
      <c r="F71" s="63" t="s">
        <v>254</v>
      </c>
      <c r="H71" s="61" t="s">
        <v>298</v>
      </c>
      <c r="J71" s="61" t="s">
        <v>306</v>
      </c>
      <c r="L71" s="61" t="s">
        <v>74</v>
      </c>
      <c r="N71" s="61" t="s">
        <v>178</v>
      </c>
      <c r="P71" s="61" t="s">
        <v>339</v>
      </c>
      <c r="R71" s="64" t="s">
        <v>350</v>
      </c>
      <c r="T71" s="73" t="s">
        <v>265</v>
      </c>
      <c r="U71" s="66"/>
      <c r="V71" s="67" t="s">
        <v>79</v>
      </c>
      <c r="W71" s="68"/>
      <c r="X71" s="67" t="s">
        <v>80</v>
      </c>
      <c r="Y71" s="68"/>
      <c r="Z71" s="67" t="s">
        <v>80</v>
      </c>
      <c r="AA71" s="68"/>
      <c r="AB71" s="67" t="s">
        <v>80</v>
      </c>
      <c r="AD71" s="63" t="s">
        <v>341</v>
      </c>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c r="IX71" s="20"/>
      <c r="IY71" s="20"/>
      <c r="IZ71" s="20"/>
      <c r="JA71" s="20"/>
      <c r="JB71" s="20"/>
      <c r="JC71" s="20"/>
      <c r="JD71" s="20"/>
      <c r="JE71" s="20"/>
      <c r="JF71" s="20"/>
      <c r="JG71" s="20"/>
      <c r="JH71" s="20"/>
      <c r="JI71" s="20"/>
      <c r="JJ71" s="20"/>
      <c r="JK71" s="20"/>
      <c r="JL71" s="20"/>
      <c r="JM71" s="20"/>
      <c r="JN71" s="20"/>
      <c r="JO71" s="20"/>
      <c r="JP71" s="20"/>
      <c r="JQ71" s="20"/>
      <c r="JR71" s="20"/>
      <c r="JS71" s="20"/>
      <c r="JT71" s="20"/>
      <c r="JU71" s="20"/>
      <c r="JV71" s="20"/>
      <c r="JW71" s="20"/>
      <c r="JX71" s="20"/>
      <c r="JY71" s="20"/>
      <c r="JZ71" s="20"/>
      <c r="KA71" s="20"/>
      <c r="KB71" s="20"/>
      <c r="KC71" s="20"/>
      <c r="KD71" s="20"/>
      <c r="KE71" s="20"/>
      <c r="KF71" s="20"/>
      <c r="KG71" s="20"/>
      <c r="KH71" s="20"/>
      <c r="KI71" s="20"/>
      <c r="KJ71" s="20"/>
      <c r="KK71" s="20"/>
      <c r="KL71" s="20"/>
      <c r="KM71" s="20"/>
      <c r="KN71" s="20"/>
      <c r="KO71" s="20"/>
      <c r="KP71" s="20"/>
      <c r="KQ71" s="20"/>
      <c r="KR71" s="20"/>
      <c r="KS71" s="20"/>
      <c r="KT71" s="20"/>
      <c r="KU71" s="20"/>
      <c r="KV71" s="20"/>
      <c r="KW71" s="20"/>
      <c r="KX71" s="20"/>
      <c r="KY71" s="20"/>
      <c r="KZ71" s="20"/>
      <c r="LA71" s="20"/>
      <c r="LB71" s="20"/>
      <c r="LC71" s="20"/>
      <c r="LD71" s="20"/>
      <c r="LE71" s="20"/>
      <c r="LF71" s="20"/>
      <c r="LG71" s="20"/>
      <c r="LH71" s="20"/>
      <c r="LI71" s="20"/>
      <c r="LJ71" s="20"/>
      <c r="LK71" s="20"/>
      <c r="LL71" s="20"/>
      <c r="LM71" s="20"/>
      <c r="LN71" s="20"/>
      <c r="LO71" s="20"/>
      <c r="LP71" s="20"/>
      <c r="LQ71" s="20"/>
      <c r="LR71" s="20"/>
      <c r="LS71" s="20"/>
      <c r="LT71" s="20"/>
      <c r="LU71" s="20"/>
      <c r="LV71" s="20"/>
      <c r="LW71" s="20"/>
      <c r="LX71" s="20"/>
      <c r="LY71" s="20"/>
      <c r="LZ71" s="20"/>
      <c r="MA71" s="20"/>
      <c r="MB71" s="20"/>
      <c r="MC71" s="20"/>
      <c r="MD71" s="20"/>
      <c r="ME71" s="20"/>
      <c r="MF71" s="20"/>
      <c r="MG71" s="20"/>
      <c r="MH71" s="20"/>
      <c r="MI71" s="20"/>
      <c r="MJ71" s="20"/>
      <c r="MK71" s="20"/>
      <c r="ML71" s="20"/>
      <c r="MM71" s="20"/>
      <c r="MN71" s="20"/>
      <c r="MO71" s="20"/>
      <c r="MP71" s="20"/>
      <c r="MQ71" s="20"/>
      <c r="MR71" s="20"/>
      <c r="MS71" s="20"/>
      <c r="MT71" s="20"/>
      <c r="MU71" s="20"/>
      <c r="MV71" s="20"/>
      <c r="MW71" s="20"/>
      <c r="MX71" s="20"/>
      <c r="MY71" s="20"/>
      <c r="MZ71" s="20"/>
      <c r="NA71" s="20"/>
      <c r="NB71" s="20"/>
      <c r="NC71" s="20"/>
      <c r="ND71" s="20"/>
      <c r="NE71" s="20"/>
      <c r="NF71" s="20"/>
      <c r="NG71" s="20"/>
      <c r="NH71" s="20"/>
      <c r="NI71" s="20"/>
      <c r="NJ71" s="20"/>
      <c r="NK71" s="20"/>
      <c r="NL71" s="20"/>
      <c r="NM71" s="20"/>
      <c r="NN71" s="20"/>
      <c r="NO71" s="20"/>
      <c r="NP71" s="20"/>
      <c r="NQ71" s="20"/>
      <c r="NR71" s="20"/>
      <c r="NS71" s="20"/>
      <c r="NT71" s="20"/>
      <c r="NU71" s="20"/>
      <c r="NV71" s="20"/>
      <c r="NW71" s="20"/>
      <c r="NX71" s="20"/>
      <c r="NY71" s="20"/>
      <c r="NZ71" s="20"/>
      <c r="OA71" s="20"/>
      <c r="OB71" s="20"/>
      <c r="OC71" s="20"/>
      <c r="OD71" s="20"/>
      <c r="OE71" s="20"/>
      <c r="OF71" s="20"/>
      <c r="OG71" s="20"/>
      <c r="OH71" s="20"/>
      <c r="OI71" s="20"/>
      <c r="OJ71" s="20"/>
      <c r="OK71" s="20"/>
      <c r="OL71" s="20"/>
      <c r="OM71" s="20"/>
      <c r="ON71" s="20"/>
      <c r="OO71" s="20"/>
      <c r="OP71" s="20"/>
      <c r="OQ71" s="20"/>
      <c r="OR71" s="20"/>
      <c r="OS71" s="20"/>
      <c r="OT71" s="20"/>
      <c r="OU71" s="20"/>
      <c r="OV71" s="20"/>
      <c r="OW71" s="20"/>
      <c r="OX71" s="20"/>
      <c r="OY71" s="20"/>
      <c r="OZ71" s="20"/>
      <c r="PA71" s="20"/>
      <c r="PB71" s="20"/>
      <c r="PC71" s="20"/>
      <c r="PD71" s="20"/>
      <c r="PE71" s="20"/>
      <c r="PF71" s="20"/>
      <c r="PG71" s="20"/>
      <c r="PH71" s="20"/>
      <c r="PI71" s="20"/>
      <c r="PJ71" s="20"/>
      <c r="PK71" s="20"/>
      <c r="PL71" s="20"/>
      <c r="PM71" s="20"/>
      <c r="PN71" s="20"/>
      <c r="PO71" s="20"/>
      <c r="PP71" s="20"/>
      <c r="PQ71" s="20"/>
      <c r="PR71" s="20"/>
      <c r="PS71" s="20"/>
      <c r="PT71" s="20"/>
      <c r="PU71" s="20"/>
      <c r="PV71" s="20"/>
      <c r="PW71" s="20"/>
      <c r="PX71" s="20"/>
      <c r="PY71" s="20"/>
      <c r="PZ71" s="20"/>
      <c r="QA71" s="20"/>
      <c r="QB71" s="20"/>
      <c r="QC71" s="20"/>
      <c r="QD71" s="20"/>
      <c r="QE71" s="20"/>
      <c r="QF71" s="20"/>
      <c r="QG71" s="20"/>
      <c r="QH71" s="20"/>
      <c r="QI71" s="20"/>
      <c r="QJ71" s="20"/>
      <c r="QK71" s="20"/>
      <c r="QL71" s="20"/>
      <c r="QM71" s="20"/>
      <c r="QN71" s="20"/>
      <c r="QO71" s="20"/>
      <c r="QP71" s="20"/>
      <c r="QQ71" s="20"/>
      <c r="QR71" s="20"/>
      <c r="QS71" s="20"/>
      <c r="QT71" s="20"/>
      <c r="QU71" s="20"/>
      <c r="QV71" s="20"/>
      <c r="QW71" s="20"/>
      <c r="QX71" s="20"/>
      <c r="QY71" s="20"/>
      <c r="QZ71" s="20"/>
      <c r="RA71" s="20"/>
      <c r="RB71" s="20"/>
      <c r="RC71" s="20"/>
      <c r="RD71" s="20"/>
      <c r="RE71" s="20"/>
      <c r="RF71" s="20"/>
      <c r="RG71" s="20"/>
      <c r="RH71" s="20"/>
      <c r="RI71" s="20"/>
      <c r="RJ71" s="20"/>
      <c r="RK71" s="20"/>
      <c r="RL71" s="20"/>
      <c r="RM71" s="20"/>
      <c r="RN71" s="20"/>
      <c r="RO71" s="20"/>
      <c r="RP71" s="20"/>
      <c r="RQ71" s="20"/>
      <c r="RR71" s="20"/>
      <c r="RS71" s="20"/>
      <c r="RT71" s="20"/>
      <c r="RU71" s="20"/>
      <c r="RV71" s="20"/>
      <c r="RW71" s="20"/>
      <c r="RX71" s="20"/>
      <c r="RY71" s="20"/>
      <c r="RZ71" s="20"/>
      <c r="SA71" s="20"/>
      <c r="SB71" s="20"/>
      <c r="SC71" s="20"/>
      <c r="SD71" s="20"/>
      <c r="SE71" s="20"/>
      <c r="SF71" s="20"/>
      <c r="SG71" s="20"/>
      <c r="SH71" s="20"/>
      <c r="SI71" s="20"/>
      <c r="SJ71" s="20"/>
      <c r="SK71" s="20"/>
      <c r="SL71" s="20"/>
      <c r="SM71" s="20"/>
      <c r="SN71" s="20"/>
      <c r="SO71" s="20"/>
      <c r="SP71" s="20"/>
      <c r="SQ71" s="20"/>
      <c r="SR71" s="20"/>
      <c r="SS71" s="20"/>
      <c r="ST71" s="20"/>
      <c r="SU71" s="20"/>
      <c r="SV71" s="20"/>
      <c r="SW71" s="20"/>
      <c r="SX71" s="20"/>
      <c r="SY71" s="20"/>
      <c r="SZ71" s="20"/>
      <c r="TA71" s="20"/>
      <c r="TB71" s="20"/>
      <c r="TC71" s="20"/>
      <c r="TD71" s="20"/>
      <c r="TE71" s="20"/>
      <c r="TF71" s="20"/>
      <c r="TG71" s="20"/>
      <c r="TH71" s="20"/>
      <c r="TI71" s="20"/>
      <c r="TJ71" s="20"/>
      <c r="TK71" s="20"/>
      <c r="TL71" s="20"/>
      <c r="TM71" s="20"/>
      <c r="TN71" s="20"/>
      <c r="TO71" s="20"/>
      <c r="TP71" s="20"/>
      <c r="TQ71" s="20"/>
      <c r="TR71" s="20"/>
      <c r="TS71" s="20"/>
      <c r="TT71" s="20"/>
      <c r="TU71" s="20"/>
      <c r="TV71" s="20"/>
      <c r="TW71" s="20"/>
      <c r="TX71" s="20"/>
      <c r="TY71" s="20"/>
      <c r="TZ71" s="20"/>
      <c r="UA71" s="20"/>
      <c r="UB71" s="20"/>
      <c r="UC71" s="20"/>
      <c r="UD71" s="20"/>
      <c r="UE71" s="20"/>
      <c r="UF71" s="20"/>
      <c r="UG71" s="20"/>
      <c r="UH71" s="20"/>
      <c r="UI71" s="20"/>
      <c r="UJ71" s="20"/>
      <c r="UK71" s="20"/>
      <c r="UL71" s="20"/>
      <c r="UM71" s="20"/>
      <c r="UN71" s="20"/>
      <c r="UO71" s="20"/>
      <c r="UP71" s="20"/>
      <c r="UQ71" s="20"/>
      <c r="UR71" s="20"/>
      <c r="US71" s="20"/>
      <c r="UT71" s="20"/>
      <c r="UU71" s="20"/>
      <c r="UV71" s="20"/>
      <c r="UW71" s="20"/>
      <c r="UX71" s="20"/>
      <c r="UY71" s="20"/>
      <c r="UZ71" s="20"/>
      <c r="VA71" s="20"/>
      <c r="VB71" s="20"/>
      <c r="VC71" s="20"/>
      <c r="VD71" s="20"/>
      <c r="VE71" s="20"/>
      <c r="VF71" s="20"/>
      <c r="VG71" s="20"/>
      <c r="VH71" s="20"/>
      <c r="VI71" s="20"/>
      <c r="VJ71" s="20"/>
      <c r="VK71" s="20"/>
      <c r="VL71" s="20"/>
      <c r="VM71" s="20"/>
      <c r="VN71" s="20"/>
      <c r="VO71" s="20"/>
      <c r="VP71" s="20"/>
      <c r="VQ71" s="20"/>
      <c r="VR71" s="20"/>
      <c r="VS71" s="20"/>
      <c r="VT71" s="20"/>
      <c r="VU71" s="20"/>
      <c r="VV71" s="20"/>
      <c r="VW71" s="20"/>
      <c r="VX71" s="20"/>
      <c r="VY71" s="20"/>
      <c r="VZ71" s="20"/>
      <c r="WA71" s="20"/>
      <c r="WB71" s="20"/>
      <c r="WC71" s="20"/>
      <c r="WD71" s="20"/>
      <c r="WE71" s="20"/>
      <c r="WF71" s="20"/>
      <c r="WG71" s="20"/>
      <c r="WH71" s="20"/>
      <c r="WI71" s="20"/>
      <c r="WJ71" s="20"/>
      <c r="WK71" s="20"/>
      <c r="WL71" s="20"/>
      <c r="WM71" s="20"/>
      <c r="WN71" s="20"/>
      <c r="WO71" s="20"/>
      <c r="WP71" s="20"/>
      <c r="WQ71" s="20"/>
      <c r="WR71" s="20"/>
      <c r="WS71" s="20"/>
      <c r="WT71" s="20"/>
      <c r="WU71" s="20"/>
      <c r="WV71" s="20"/>
      <c r="WW71" s="20"/>
      <c r="WX71" s="20"/>
      <c r="WY71" s="20"/>
      <c r="WZ71" s="20"/>
      <c r="XA71" s="20"/>
      <c r="XB71" s="20"/>
      <c r="XC71" s="20"/>
      <c r="XD71" s="20"/>
      <c r="XE71" s="20"/>
      <c r="XF71" s="20"/>
      <c r="XG71" s="20"/>
      <c r="XH71" s="20"/>
      <c r="XI71" s="20"/>
      <c r="XJ71" s="20"/>
      <c r="XK71" s="20"/>
      <c r="XL71" s="20"/>
      <c r="XM71" s="20"/>
      <c r="XN71" s="20"/>
      <c r="XO71" s="20"/>
      <c r="XP71" s="20"/>
      <c r="XQ71" s="20"/>
      <c r="XR71" s="20"/>
      <c r="XS71" s="20"/>
      <c r="XT71" s="20"/>
      <c r="XU71" s="20"/>
      <c r="XV71" s="20"/>
      <c r="XW71" s="20"/>
      <c r="XX71" s="20"/>
      <c r="XY71" s="20"/>
      <c r="XZ71" s="20"/>
      <c r="YA71" s="20"/>
      <c r="YB71" s="20"/>
      <c r="YC71" s="20"/>
      <c r="YD71" s="20"/>
      <c r="YE71" s="20"/>
      <c r="YF71" s="20"/>
      <c r="YG71" s="20"/>
      <c r="YH71" s="20"/>
      <c r="YI71" s="20"/>
      <c r="YJ71" s="20"/>
      <c r="YK71" s="20"/>
      <c r="YL71" s="20"/>
      <c r="YM71" s="20"/>
      <c r="YN71" s="20"/>
      <c r="YO71" s="20"/>
      <c r="YP71" s="20"/>
      <c r="YQ71" s="20"/>
      <c r="YR71" s="20"/>
      <c r="YS71" s="20"/>
      <c r="YT71" s="20"/>
      <c r="YU71" s="20"/>
      <c r="YV71" s="20"/>
      <c r="YW71" s="20"/>
      <c r="YX71" s="20"/>
      <c r="YY71" s="20"/>
      <c r="YZ71" s="20"/>
      <c r="ZA71" s="20"/>
      <c r="ZB71" s="20"/>
      <c r="ZC71" s="20"/>
      <c r="ZD71" s="20"/>
      <c r="ZE71" s="20"/>
      <c r="ZF71" s="20"/>
      <c r="ZG71" s="20"/>
      <c r="ZH71" s="20"/>
      <c r="ZI71" s="20"/>
      <c r="ZJ71" s="20"/>
      <c r="ZK71" s="20"/>
      <c r="ZL71" s="20"/>
      <c r="ZM71" s="20"/>
      <c r="ZN71" s="20"/>
      <c r="ZO71" s="20"/>
      <c r="ZP71" s="20"/>
      <c r="ZQ71" s="20"/>
      <c r="ZR71" s="20"/>
      <c r="ZS71" s="20"/>
      <c r="ZT71" s="20"/>
      <c r="ZU71" s="20"/>
      <c r="ZV71" s="20"/>
      <c r="ZW71" s="20"/>
      <c r="ZX71" s="20"/>
      <c r="ZY71" s="20"/>
      <c r="ZZ71" s="20"/>
      <c r="AAA71" s="20"/>
      <c r="AAB71" s="20"/>
      <c r="AAC71" s="20"/>
      <c r="AAD71" s="20"/>
      <c r="AAE71" s="20"/>
      <c r="AAF71" s="20"/>
      <c r="AAG71" s="20"/>
      <c r="AAH71" s="20"/>
      <c r="AAI71" s="20"/>
      <c r="AAJ71" s="20"/>
      <c r="AAK71" s="20"/>
      <c r="AAL71" s="20"/>
      <c r="AAM71" s="20"/>
      <c r="AAN71" s="20"/>
      <c r="AAO71" s="20"/>
      <c r="AAP71" s="20"/>
      <c r="AAQ71" s="20"/>
      <c r="AAR71" s="20"/>
      <c r="AAS71" s="20"/>
      <c r="AAT71" s="20"/>
      <c r="AAU71" s="20"/>
      <c r="AAV71" s="20"/>
      <c r="AAW71" s="20"/>
      <c r="AAX71" s="20"/>
      <c r="AAY71" s="20"/>
      <c r="AAZ71" s="20"/>
      <c r="ABA71" s="20"/>
      <c r="ABB71" s="20"/>
      <c r="ABC71" s="20"/>
      <c r="ABD71" s="20"/>
      <c r="ABE71" s="20"/>
      <c r="ABF71" s="20"/>
      <c r="ABG71" s="20"/>
      <c r="ABH71" s="20"/>
      <c r="ABI71" s="20"/>
      <c r="ABJ71" s="20"/>
      <c r="ABK71" s="20"/>
      <c r="ABL71" s="20"/>
      <c r="ABM71" s="20"/>
      <c r="ABN71" s="20"/>
      <c r="ABO71" s="20"/>
      <c r="ABP71" s="20"/>
      <c r="ABQ71" s="20"/>
      <c r="ABR71" s="20"/>
      <c r="ABS71" s="20"/>
      <c r="ABT71" s="20"/>
      <c r="ABU71" s="20"/>
      <c r="ABV71" s="20"/>
      <c r="ABW71" s="20"/>
      <c r="ABX71" s="20"/>
      <c r="ABY71" s="20"/>
      <c r="ABZ71" s="20"/>
      <c r="ACA71" s="20"/>
      <c r="ACB71" s="20"/>
      <c r="ACC71" s="20"/>
      <c r="ACD71" s="20"/>
      <c r="ACE71" s="20"/>
      <c r="ACF71" s="20"/>
      <c r="ACG71" s="20"/>
      <c r="ACH71" s="20"/>
      <c r="ACI71" s="20"/>
      <c r="ACJ71" s="20"/>
      <c r="ACK71" s="20"/>
      <c r="ACL71" s="20"/>
      <c r="ACM71" s="20"/>
      <c r="ACN71" s="20"/>
      <c r="ACO71" s="20"/>
      <c r="ACP71" s="20"/>
      <c r="ACQ71" s="20"/>
    </row>
    <row r="72" spans="1:771" s="62" customFormat="1" ht="135.94999999999999">
      <c r="A72" s="57"/>
      <c r="B72" s="61" t="s">
        <v>351</v>
      </c>
      <c r="D72" s="61" t="s">
        <v>352</v>
      </c>
      <c r="F72" s="63" t="s">
        <v>254</v>
      </c>
      <c r="H72" s="61" t="s">
        <v>298</v>
      </c>
      <c r="J72" s="61" t="s">
        <v>306</v>
      </c>
      <c r="L72" s="61" t="s">
        <v>74</v>
      </c>
      <c r="N72" s="61" t="s">
        <v>178</v>
      </c>
      <c r="P72" s="61" t="s">
        <v>339</v>
      </c>
      <c r="R72" s="64" t="s">
        <v>353</v>
      </c>
      <c r="T72" s="73" t="s">
        <v>265</v>
      </c>
      <c r="U72" s="66"/>
      <c r="V72" s="67" t="s">
        <v>79</v>
      </c>
      <c r="W72" s="68"/>
      <c r="X72" s="67" t="s">
        <v>80</v>
      </c>
      <c r="Y72" s="68"/>
      <c r="Z72" s="67" t="s">
        <v>80</v>
      </c>
      <c r="AA72" s="68"/>
      <c r="AB72" s="67" t="s">
        <v>80</v>
      </c>
      <c r="AD72" s="63" t="s">
        <v>341</v>
      </c>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c r="IX72" s="20"/>
      <c r="IY72" s="20"/>
      <c r="IZ72" s="20"/>
      <c r="JA72" s="20"/>
      <c r="JB72" s="20"/>
      <c r="JC72" s="20"/>
      <c r="JD72" s="20"/>
      <c r="JE72" s="20"/>
      <c r="JF72" s="20"/>
      <c r="JG72" s="20"/>
      <c r="JH72" s="20"/>
      <c r="JI72" s="20"/>
      <c r="JJ72" s="20"/>
      <c r="JK72" s="20"/>
      <c r="JL72" s="20"/>
      <c r="JM72" s="20"/>
      <c r="JN72" s="20"/>
      <c r="JO72" s="20"/>
      <c r="JP72" s="20"/>
      <c r="JQ72" s="20"/>
      <c r="JR72" s="20"/>
      <c r="JS72" s="20"/>
      <c r="JT72" s="20"/>
      <c r="JU72" s="20"/>
      <c r="JV72" s="20"/>
      <c r="JW72" s="20"/>
      <c r="JX72" s="20"/>
      <c r="JY72" s="20"/>
      <c r="JZ72" s="20"/>
      <c r="KA72" s="20"/>
      <c r="KB72" s="20"/>
      <c r="KC72" s="20"/>
      <c r="KD72" s="20"/>
      <c r="KE72" s="20"/>
      <c r="KF72" s="20"/>
      <c r="KG72" s="20"/>
      <c r="KH72" s="20"/>
      <c r="KI72" s="20"/>
      <c r="KJ72" s="20"/>
      <c r="KK72" s="20"/>
      <c r="KL72" s="20"/>
      <c r="KM72" s="20"/>
      <c r="KN72" s="20"/>
      <c r="KO72" s="20"/>
      <c r="KP72" s="20"/>
      <c r="KQ72" s="20"/>
      <c r="KR72" s="20"/>
      <c r="KS72" s="20"/>
      <c r="KT72" s="20"/>
      <c r="KU72" s="20"/>
      <c r="KV72" s="20"/>
      <c r="KW72" s="20"/>
      <c r="KX72" s="20"/>
      <c r="KY72" s="20"/>
      <c r="KZ72" s="20"/>
      <c r="LA72" s="20"/>
      <c r="LB72" s="20"/>
      <c r="LC72" s="20"/>
      <c r="LD72" s="20"/>
      <c r="LE72" s="20"/>
      <c r="LF72" s="20"/>
      <c r="LG72" s="20"/>
      <c r="LH72" s="20"/>
      <c r="LI72" s="20"/>
      <c r="LJ72" s="20"/>
      <c r="LK72" s="20"/>
      <c r="LL72" s="20"/>
      <c r="LM72" s="20"/>
      <c r="LN72" s="20"/>
      <c r="LO72" s="20"/>
      <c r="LP72" s="20"/>
      <c r="LQ72" s="20"/>
      <c r="LR72" s="20"/>
      <c r="LS72" s="20"/>
      <c r="LT72" s="20"/>
      <c r="LU72" s="20"/>
      <c r="LV72" s="20"/>
      <c r="LW72" s="20"/>
      <c r="LX72" s="20"/>
      <c r="LY72" s="20"/>
      <c r="LZ72" s="20"/>
      <c r="MA72" s="20"/>
      <c r="MB72" s="20"/>
      <c r="MC72" s="20"/>
      <c r="MD72" s="20"/>
      <c r="ME72" s="20"/>
      <c r="MF72" s="20"/>
      <c r="MG72" s="20"/>
      <c r="MH72" s="20"/>
      <c r="MI72" s="20"/>
      <c r="MJ72" s="20"/>
      <c r="MK72" s="20"/>
      <c r="ML72" s="20"/>
      <c r="MM72" s="20"/>
      <c r="MN72" s="20"/>
      <c r="MO72" s="20"/>
      <c r="MP72" s="20"/>
      <c r="MQ72" s="20"/>
      <c r="MR72" s="20"/>
      <c r="MS72" s="20"/>
      <c r="MT72" s="20"/>
      <c r="MU72" s="20"/>
      <c r="MV72" s="20"/>
      <c r="MW72" s="20"/>
      <c r="MX72" s="20"/>
      <c r="MY72" s="20"/>
      <c r="MZ72" s="20"/>
      <c r="NA72" s="20"/>
      <c r="NB72" s="20"/>
      <c r="NC72" s="20"/>
      <c r="ND72" s="20"/>
      <c r="NE72" s="20"/>
      <c r="NF72" s="20"/>
      <c r="NG72" s="20"/>
      <c r="NH72" s="20"/>
      <c r="NI72" s="20"/>
      <c r="NJ72" s="20"/>
      <c r="NK72" s="20"/>
      <c r="NL72" s="20"/>
      <c r="NM72" s="20"/>
      <c r="NN72" s="20"/>
      <c r="NO72" s="20"/>
      <c r="NP72" s="20"/>
      <c r="NQ72" s="20"/>
      <c r="NR72" s="20"/>
      <c r="NS72" s="20"/>
      <c r="NT72" s="20"/>
      <c r="NU72" s="20"/>
      <c r="NV72" s="20"/>
      <c r="NW72" s="20"/>
      <c r="NX72" s="20"/>
      <c r="NY72" s="20"/>
      <c r="NZ72" s="20"/>
      <c r="OA72" s="20"/>
      <c r="OB72" s="20"/>
      <c r="OC72" s="20"/>
      <c r="OD72" s="20"/>
      <c r="OE72" s="20"/>
      <c r="OF72" s="20"/>
      <c r="OG72" s="20"/>
      <c r="OH72" s="20"/>
      <c r="OI72" s="20"/>
      <c r="OJ72" s="20"/>
      <c r="OK72" s="20"/>
      <c r="OL72" s="20"/>
      <c r="OM72" s="20"/>
      <c r="ON72" s="20"/>
      <c r="OO72" s="20"/>
      <c r="OP72" s="20"/>
      <c r="OQ72" s="20"/>
      <c r="OR72" s="20"/>
      <c r="OS72" s="20"/>
      <c r="OT72" s="20"/>
      <c r="OU72" s="20"/>
      <c r="OV72" s="20"/>
      <c r="OW72" s="20"/>
      <c r="OX72" s="20"/>
      <c r="OY72" s="20"/>
      <c r="OZ72" s="20"/>
      <c r="PA72" s="20"/>
      <c r="PB72" s="20"/>
      <c r="PC72" s="20"/>
      <c r="PD72" s="20"/>
      <c r="PE72" s="20"/>
      <c r="PF72" s="20"/>
      <c r="PG72" s="20"/>
      <c r="PH72" s="20"/>
      <c r="PI72" s="20"/>
      <c r="PJ72" s="20"/>
      <c r="PK72" s="20"/>
      <c r="PL72" s="20"/>
      <c r="PM72" s="20"/>
      <c r="PN72" s="20"/>
      <c r="PO72" s="20"/>
      <c r="PP72" s="20"/>
      <c r="PQ72" s="20"/>
      <c r="PR72" s="20"/>
      <c r="PS72" s="20"/>
      <c r="PT72" s="20"/>
      <c r="PU72" s="20"/>
      <c r="PV72" s="20"/>
      <c r="PW72" s="20"/>
      <c r="PX72" s="20"/>
      <c r="PY72" s="20"/>
      <c r="PZ72" s="20"/>
      <c r="QA72" s="20"/>
      <c r="QB72" s="20"/>
      <c r="QC72" s="20"/>
      <c r="QD72" s="20"/>
      <c r="QE72" s="20"/>
      <c r="QF72" s="20"/>
      <c r="QG72" s="20"/>
      <c r="QH72" s="20"/>
      <c r="QI72" s="20"/>
      <c r="QJ72" s="20"/>
      <c r="QK72" s="20"/>
      <c r="QL72" s="20"/>
      <c r="QM72" s="20"/>
      <c r="QN72" s="20"/>
      <c r="QO72" s="20"/>
      <c r="QP72" s="20"/>
      <c r="QQ72" s="20"/>
      <c r="QR72" s="20"/>
      <c r="QS72" s="20"/>
      <c r="QT72" s="20"/>
      <c r="QU72" s="20"/>
      <c r="QV72" s="20"/>
      <c r="QW72" s="20"/>
      <c r="QX72" s="20"/>
      <c r="QY72" s="20"/>
      <c r="QZ72" s="20"/>
      <c r="RA72" s="20"/>
      <c r="RB72" s="20"/>
      <c r="RC72" s="20"/>
      <c r="RD72" s="20"/>
      <c r="RE72" s="20"/>
      <c r="RF72" s="20"/>
      <c r="RG72" s="20"/>
      <c r="RH72" s="20"/>
      <c r="RI72" s="20"/>
      <c r="RJ72" s="20"/>
      <c r="RK72" s="20"/>
      <c r="RL72" s="20"/>
      <c r="RM72" s="20"/>
      <c r="RN72" s="20"/>
      <c r="RO72" s="20"/>
      <c r="RP72" s="20"/>
      <c r="RQ72" s="20"/>
      <c r="RR72" s="20"/>
      <c r="RS72" s="20"/>
      <c r="RT72" s="20"/>
      <c r="RU72" s="20"/>
      <c r="RV72" s="20"/>
      <c r="RW72" s="20"/>
      <c r="RX72" s="20"/>
      <c r="RY72" s="20"/>
      <c r="RZ72" s="20"/>
      <c r="SA72" s="20"/>
      <c r="SB72" s="20"/>
      <c r="SC72" s="20"/>
      <c r="SD72" s="20"/>
      <c r="SE72" s="20"/>
      <c r="SF72" s="20"/>
      <c r="SG72" s="20"/>
      <c r="SH72" s="20"/>
      <c r="SI72" s="20"/>
      <c r="SJ72" s="20"/>
      <c r="SK72" s="20"/>
      <c r="SL72" s="20"/>
      <c r="SM72" s="20"/>
      <c r="SN72" s="20"/>
      <c r="SO72" s="20"/>
      <c r="SP72" s="20"/>
      <c r="SQ72" s="20"/>
      <c r="SR72" s="20"/>
      <c r="SS72" s="20"/>
      <c r="ST72" s="20"/>
      <c r="SU72" s="20"/>
      <c r="SV72" s="20"/>
      <c r="SW72" s="20"/>
      <c r="SX72" s="20"/>
      <c r="SY72" s="20"/>
      <c r="SZ72" s="20"/>
      <c r="TA72" s="20"/>
      <c r="TB72" s="20"/>
      <c r="TC72" s="20"/>
      <c r="TD72" s="20"/>
      <c r="TE72" s="20"/>
      <c r="TF72" s="20"/>
      <c r="TG72" s="20"/>
      <c r="TH72" s="20"/>
      <c r="TI72" s="20"/>
      <c r="TJ72" s="20"/>
      <c r="TK72" s="20"/>
      <c r="TL72" s="20"/>
      <c r="TM72" s="20"/>
      <c r="TN72" s="20"/>
      <c r="TO72" s="20"/>
      <c r="TP72" s="20"/>
      <c r="TQ72" s="20"/>
      <c r="TR72" s="20"/>
      <c r="TS72" s="20"/>
      <c r="TT72" s="20"/>
      <c r="TU72" s="20"/>
      <c r="TV72" s="20"/>
      <c r="TW72" s="20"/>
      <c r="TX72" s="20"/>
      <c r="TY72" s="20"/>
      <c r="TZ72" s="20"/>
      <c r="UA72" s="20"/>
      <c r="UB72" s="20"/>
      <c r="UC72" s="20"/>
      <c r="UD72" s="20"/>
      <c r="UE72" s="20"/>
      <c r="UF72" s="20"/>
      <c r="UG72" s="20"/>
      <c r="UH72" s="20"/>
      <c r="UI72" s="20"/>
      <c r="UJ72" s="20"/>
      <c r="UK72" s="20"/>
      <c r="UL72" s="20"/>
      <c r="UM72" s="20"/>
      <c r="UN72" s="20"/>
      <c r="UO72" s="20"/>
      <c r="UP72" s="20"/>
      <c r="UQ72" s="20"/>
      <c r="UR72" s="20"/>
      <c r="US72" s="20"/>
      <c r="UT72" s="20"/>
      <c r="UU72" s="20"/>
      <c r="UV72" s="20"/>
      <c r="UW72" s="20"/>
      <c r="UX72" s="20"/>
      <c r="UY72" s="20"/>
      <c r="UZ72" s="20"/>
      <c r="VA72" s="20"/>
      <c r="VB72" s="20"/>
      <c r="VC72" s="20"/>
      <c r="VD72" s="20"/>
      <c r="VE72" s="20"/>
      <c r="VF72" s="20"/>
      <c r="VG72" s="20"/>
      <c r="VH72" s="20"/>
      <c r="VI72" s="20"/>
      <c r="VJ72" s="20"/>
      <c r="VK72" s="20"/>
      <c r="VL72" s="20"/>
      <c r="VM72" s="20"/>
      <c r="VN72" s="20"/>
      <c r="VO72" s="20"/>
      <c r="VP72" s="20"/>
      <c r="VQ72" s="20"/>
      <c r="VR72" s="20"/>
      <c r="VS72" s="20"/>
      <c r="VT72" s="20"/>
      <c r="VU72" s="20"/>
      <c r="VV72" s="20"/>
      <c r="VW72" s="20"/>
      <c r="VX72" s="20"/>
      <c r="VY72" s="20"/>
      <c r="VZ72" s="20"/>
      <c r="WA72" s="20"/>
      <c r="WB72" s="20"/>
      <c r="WC72" s="20"/>
      <c r="WD72" s="20"/>
      <c r="WE72" s="20"/>
      <c r="WF72" s="20"/>
      <c r="WG72" s="20"/>
      <c r="WH72" s="20"/>
      <c r="WI72" s="20"/>
      <c r="WJ72" s="20"/>
      <c r="WK72" s="20"/>
      <c r="WL72" s="20"/>
      <c r="WM72" s="20"/>
      <c r="WN72" s="20"/>
      <c r="WO72" s="20"/>
      <c r="WP72" s="20"/>
      <c r="WQ72" s="20"/>
      <c r="WR72" s="20"/>
      <c r="WS72" s="20"/>
      <c r="WT72" s="20"/>
      <c r="WU72" s="20"/>
      <c r="WV72" s="20"/>
      <c r="WW72" s="20"/>
      <c r="WX72" s="20"/>
      <c r="WY72" s="20"/>
      <c r="WZ72" s="20"/>
      <c r="XA72" s="20"/>
      <c r="XB72" s="20"/>
      <c r="XC72" s="20"/>
      <c r="XD72" s="20"/>
      <c r="XE72" s="20"/>
      <c r="XF72" s="20"/>
      <c r="XG72" s="20"/>
      <c r="XH72" s="20"/>
      <c r="XI72" s="20"/>
      <c r="XJ72" s="20"/>
      <c r="XK72" s="20"/>
      <c r="XL72" s="20"/>
      <c r="XM72" s="20"/>
      <c r="XN72" s="20"/>
      <c r="XO72" s="20"/>
      <c r="XP72" s="20"/>
      <c r="XQ72" s="20"/>
      <c r="XR72" s="20"/>
      <c r="XS72" s="20"/>
      <c r="XT72" s="20"/>
      <c r="XU72" s="20"/>
      <c r="XV72" s="20"/>
      <c r="XW72" s="20"/>
      <c r="XX72" s="20"/>
      <c r="XY72" s="20"/>
      <c r="XZ72" s="20"/>
      <c r="YA72" s="20"/>
      <c r="YB72" s="20"/>
      <c r="YC72" s="20"/>
      <c r="YD72" s="20"/>
      <c r="YE72" s="20"/>
      <c r="YF72" s="20"/>
      <c r="YG72" s="20"/>
      <c r="YH72" s="20"/>
      <c r="YI72" s="20"/>
      <c r="YJ72" s="20"/>
      <c r="YK72" s="20"/>
      <c r="YL72" s="20"/>
      <c r="YM72" s="20"/>
      <c r="YN72" s="20"/>
      <c r="YO72" s="20"/>
      <c r="YP72" s="20"/>
      <c r="YQ72" s="20"/>
      <c r="YR72" s="20"/>
      <c r="YS72" s="20"/>
      <c r="YT72" s="20"/>
      <c r="YU72" s="20"/>
      <c r="YV72" s="20"/>
      <c r="YW72" s="20"/>
      <c r="YX72" s="20"/>
      <c r="YY72" s="20"/>
      <c r="YZ72" s="20"/>
      <c r="ZA72" s="20"/>
      <c r="ZB72" s="20"/>
      <c r="ZC72" s="20"/>
      <c r="ZD72" s="20"/>
      <c r="ZE72" s="20"/>
      <c r="ZF72" s="20"/>
      <c r="ZG72" s="20"/>
      <c r="ZH72" s="20"/>
      <c r="ZI72" s="20"/>
      <c r="ZJ72" s="20"/>
      <c r="ZK72" s="20"/>
      <c r="ZL72" s="20"/>
      <c r="ZM72" s="20"/>
      <c r="ZN72" s="20"/>
      <c r="ZO72" s="20"/>
      <c r="ZP72" s="20"/>
      <c r="ZQ72" s="20"/>
      <c r="ZR72" s="20"/>
      <c r="ZS72" s="20"/>
      <c r="ZT72" s="20"/>
      <c r="ZU72" s="20"/>
      <c r="ZV72" s="20"/>
      <c r="ZW72" s="20"/>
      <c r="ZX72" s="20"/>
      <c r="ZY72" s="20"/>
      <c r="ZZ72" s="20"/>
      <c r="AAA72" s="20"/>
      <c r="AAB72" s="20"/>
      <c r="AAC72" s="20"/>
      <c r="AAD72" s="20"/>
      <c r="AAE72" s="20"/>
      <c r="AAF72" s="20"/>
      <c r="AAG72" s="20"/>
      <c r="AAH72" s="20"/>
      <c r="AAI72" s="20"/>
      <c r="AAJ72" s="20"/>
      <c r="AAK72" s="20"/>
      <c r="AAL72" s="20"/>
      <c r="AAM72" s="20"/>
      <c r="AAN72" s="20"/>
      <c r="AAO72" s="20"/>
      <c r="AAP72" s="20"/>
      <c r="AAQ72" s="20"/>
      <c r="AAR72" s="20"/>
      <c r="AAS72" s="20"/>
      <c r="AAT72" s="20"/>
      <c r="AAU72" s="20"/>
      <c r="AAV72" s="20"/>
      <c r="AAW72" s="20"/>
      <c r="AAX72" s="20"/>
      <c r="AAY72" s="20"/>
      <c r="AAZ72" s="20"/>
      <c r="ABA72" s="20"/>
      <c r="ABB72" s="20"/>
      <c r="ABC72" s="20"/>
      <c r="ABD72" s="20"/>
      <c r="ABE72" s="20"/>
      <c r="ABF72" s="20"/>
      <c r="ABG72" s="20"/>
      <c r="ABH72" s="20"/>
      <c r="ABI72" s="20"/>
      <c r="ABJ72" s="20"/>
      <c r="ABK72" s="20"/>
      <c r="ABL72" s="20"/>
      <c r="ABM72" s="20"/>
      <c r="ABN72" s="20"/>
      <c r="ABO72" s="20"/>
      <c r="ABP72" s="20"/>
      <c r="ABQ72" s="20"/>
      <c r="ABR72" s="20"/>
      <c r="ABS72" s="20"/>
      <c r="ABT72" s="20"/>
      <c r="ABU72" s="20"/>
      <c r="ABV72" s="20"/>
      <c r="ABW72" s="20"/>
      <c r="ABX72" s="20"/>
      <c r="ABY72" s="20"/>
      <c r="ABZ72" s="20"/>
      <c r="ACA72" s="20"/>
      <c r="ACB72" s="20"/>
      <c r="ACC72" s="20"/>
      <c r="ACD72" s="20"/>
      <c r="ACE72" s="20"/>
      <c r="ACF72" s="20"/>
      <c r="ACG72" s="20"/>
      <c r="ACH72" s="20"/>
      <c r="ACI72" s="20"/>
      <c r="ACJ72" s="20"/>
      <c r="ACK72" s="20"/>
      <c r="ACL72" s="20"/>
      <c r="ACM72" s="20"/>
      <c r="ACN72" s="20"/>
      <c r="ACO72" s="20"/>
      <c r="ACP72" s="20"/>
      <c r="ACQ72" s="20"/>
    </row>
    <row r="73" spans="1:771" s="62" customFormat="1" ht="135.94999999999999">
      <c r="A73" s="57"/>
      <c r="B73" s="61" t="s">
        <v>354</v>
      </c>
      <c r="D73" s="61" t="s">
        <v>355</v>
      </c>
      <c r="F73" s="63" t="s">
        <v>356</v>
      </c>
      <c r="H73" s="61" t="s">
        <v>357</v>
      </c>
      <c r="J73" s="61" t="s">
        <v>306</v>
      </c>
      <c r="L73" s="61" t="s">
        <v>74</v>
      </c>
      <c r="N73" s="61" t="s">
        <v>96</v>
      </c>
      <c r="P73" s="61" t="s">
        <v>358</v>
      </c>
      <c r="R73" s="61" t="s">
        <v>77</v>
      </c>
      <c r="T73" s="65" t="s">
        <v>359</v>
      </c>
      <c r="U73" s="66"/>
      <c r="V73" s="67" t="s">
        <v>79</v>
      </c>
      <c r="W73" s="74"/>
      <c r="X73" s="67" t="s">
        <v>80</v>
      </c>
      <c r="Y73" s="68"/>
      <c r="Z73" s="67" t="s">
        <v>80</v>
      </c>
      <c r="AA73" s="68"/>
      <c r="AB73" s="67" t="s">
        <v>80</v>
      </c>
      <c r="AD73" s="63" t="s">
        <v>360</v>
      </c>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c r="IX73" s="20"/>
      <c r="IY73" s="20"/>
      <c r="IZ73" s="20"/>
      <c r="JA73" s="20"/>
      <c r="JB73" s="20"/>
      <c r="JC73" s="20"/>
      <c r="JD73" s="20"/>
      <c r="JE73" s="20"/>
      <c r="JF73" s="20"/>
      <c r="JG73" s="20"/>
      <c r="JH73" s="20"/>
      <c r="JI73" s="20"/>
      <c r="JJ73" s="20"/>
      <c r="JK73" s="20"/>
      <c r="JL73" s="20"/>
      <c r="JM73" s="20"/>
      <c r="JN73" s="20"/>
      <c r="JO73" s="20"/>
      <c r="JP73" s="20"/>
      <c r="JQ73" s="20"/>
      <c r="JR73" s="20"/>
      <c r="JS73" s="20"/>
      <c r="JT73" s="20"/>
      <c r="JU73" s="20"/>
      <c r="JV73" s="20"/>
      <c r="JW73" s="20"/>
      <c r="JX73" s="20"/>
      <c r="JY73" s="20"/>
      <c r="JZ73" s="20"/>
      <c r="KA73" s="20"/>
      <c r="KB73" s="20"/>
      <c r="KC73" s="20"/>
      <c r="KD73" s="20"/>
      <c r="KE73" s="20"/>
      <c r="KF73" s="20"/>
      <c r="KG73" s="20"/>
      <c r="KH73" s="20"/>
      <c r="KI73" s="20"/>
      <c r="KJ73" s="20"/>
      <c r="KK73" s="20"/>
      <c r="KL73" s="20"/>
      <c r="KM73" s="20"/>
      <c r="KN73" s="20"/>
      <c r="KO73" s="20"/>
      <c r="KP73" s="20"/>
      <c r="KQ73" s="20"/>
      <c r="KR73" s="20"/>
      <c r="KS73" s="20"/>
      <c r="KT73" s="20"/>
      <c r="KU73" s="20"/>
      <c r="KV73" s="20"/>
      <c r="KW73" s="20"/>
      <c r="KX73" s="20"/>
      <c r="KY73" s="20"/>
      <c r="KZ73" s="20"/>
      <c r="LA73" s="20"/>
      <c r="LB73" s="20"/>
      <c r="LC73" s="20"/>
      <c r="LD73" s="20"/>
      <c r="LE73" s="20"/>
      <c r="LF73" s="20"/>
      <c r="LG73" s="20"/>
      <c r="LH73" s="20"/>
      <c r="LI73" s="20"/>
      <c r="LJ73" s="20"/>
      <c r="LK73" s="20"/>
      <c r="LL73" s="20"/>
      <c r="LM73" s="20"/>
      <c r="LN73" s="20"/>
      <c r="LO73" s="20"/>
      <c r="LP73" s="20"/>
      <c r="LQ73" s="20"/>
      <c r="LR73" s="20"/>
      <c r="LS73" s="20"/>
      <c r="LT73" s="20"/>
      <c r="LU73" s="20"/>
      <c r="LV73" s="20"/>
      <c r="LW73" s="20"/>
      <c r="LX73" s="20"/>
      <c r="LY73" s="20"/>
      <c r="LZ73" s="20"/>
      <c r="MA73" s="20"/>
      <c r="MB73" s="20"/>
      <c r="MC73" s="20"/>
      <c r="MD73" s="20"/>
      <c r="ME73" s="20"/>
      <c r="MF73" s="20"/>
      <c r="MG73" s="20"/>
      <c r="MH73" s="20"/>
      <c r="MI73" s="20"/>
      <c r="MJ73" s="20"/>
      <c r="MK73" s="20"/>
      <c r="ML73" s="20"/>
      <c r="MM73" s="20"/>
      <c r="MN73" s="20"/>
      <c r="MO73" s="20"/>
      <c r="MP73" s="20"/>
      <c r="MQ73" s="20"/>
      <c r="MR73" s="20"/>
      <c r="MS73" s="20"/>
      <c r="MT73" s="20"/>
      <c r="MU73" s="20"/>
      <c r="MV73" s="20"/>
      <c r="MW73" s="20"/>
      <c r="MX73" s="20"/>
      <c r="MY73" s="20"/>
      <c r="MZ73" s="20"/>
      <c r="NA73" s="20"/>
      <c r="NB73" s="20"/>
      <c r="NC73" s="20"/>
      <c r="ND73" s="20"/>
      <c r="NE73" s="20"/>
      <c r="NF73" s="20"/>
      <c r="NG73" s="20"/>
      <c r="NH73" s="20"/>
      <c r="NI73" s="20"/>
      <c r="NJ73" s="20"/>
      <c r="NK73" s="20"/>
      <c r="NL73" s="20"/>
      <c r="NM73" s="20"/>
      <c r="NN73" s="20"/>
      <c r="NO73" s="20"/>
      <c r="NP73" s="20"/>
      <c r="NQ73" s="20"/>
      <c r="NR73" s="20"/>
      <c r="NS73" s="20"/>
      <c r="NT73" s="20"/>
      <c r="NU73" s="20"/>
      <c r="NV73" s="20"/>
      <c r="NW73" s="20"/>
      <c r="NX73" s="20"/>
      <c r="NY73" s="20"/>
      <c r="NZ73" s="20"/>
      <c r="OA73" s="20"/>
      <c r="OB73" s="20"/>
      <c r="OC73" s="20"/>
      <c r="OD73" s="20"/>
      <c r="OE73" s="20"/>
      <c r="OF73" s="20"/>
      <c r="OG73" s="20"/>
      <c r="OH73" s="20"/>
      <c r="OI73" s="20"/>
      <c r="OJ73" s="20"/>
      <c r="OK73" s="20"/>
      <c r="OL73" s="20"/>
      <c r="OM73" s="20"/>
      <c r="ON73" s="20"/>
      <c r="OO73" s="20"/>
      <c r="OP73" s="20"/>
      <c r="OQ73" s="20"/>
      <c r="OR73" s="20"/>
      <c r="OS73" s="20"/>
      <c r="OT73" s="20"/>
      <c r="OU73" s="20"/>
      <c r="OV73" s="20"/>
      <c r="OW73" s="20"/>
      <c r="OX73" s="20"/>
      <c r="OY73" s="20"/>
      <c r="OZ73" s="20"/>
      <c r="PA73" s="20"/>
      <c r="PB73" s="20"/>
      <c r="PC73" s="20"/>
      <c r="PD73" s="20"/>
      <c r="PE73" s="20"/>
      <c r="PF73" s="20"/>
      <c r="PG73" s="20"/>
      <c r="PH73" s="20"/>
      <c r="PI73" s="20"/>
      <c r="PJ73" s="20"/>
      <c r="PK73" s="20"/>
      <c r="PL73" s="20"/>
      <c r="PM73" s="20"/>
      <c r="PN73" s="20"/>
      <c r="PO73" s="20"/>
      <c r="PP73" s="20"/>
      <c r="PQ73" s="20"/>
      <c r="PR73" s="20"/>
      <c r="PS73" s="20"/>
      <c r="PT73" s="20"/>
      <c r="PU73" s="20"/>
      <c r="PV73" s="20"/>
      <c r="PW73" s="20"/>
      <c r="PX73" s="20"/>
      <c r="PY73" s="20"/>
      <c r="PZ73" s="20"/>
      <c r="QA73" s="20"/>
      <c r="QB73" s="20"/>
      <c r="QC73" s="20"/>
      <c r="QD73" s="20"/>
      <c r="QE73" s="20"/>
      <c r="QF73" s="20"/>
      <c r="QG73" s="20"/>
      <c r="QH73" s="20"/>
      <c r="QI73" s="20"/>
      <c r="QJ73" s="20"/>
      <c r="QK73" s="20"/>
      <c r="QL73" s="20"/>
      <c r="QM73" s="20"/>
      <c r="QN73" s="20"/>
      <c r="QO73" s="20"/>
      <c r="QP73" s="20"/>
      <c r="QQ73" s="20"/>
      <c r="QR73" s="20"/>
      <c r="QS73" s="20"/>
      <c r="QT73" s="20"/>
      <c r="QU73" s="20"/>
      <c r="QV73" s="20"/>
      <c r="QW73" s="20"/>
      <c r="QX73" s="20"/>
      <c r="QY73" s="20"/>
      <c r="QZ73" s="20"/>
      <c r="RA73" s="20"/>
      <c r="RB73" s="20"/>
      <c r="RC73" s="20"/>
      <c r="RD73" s="20"/>
      <c r="RE73" s="20"/>
      <c r="RF73" s="20"/>
      <c r="RG73" s="20"/>
      <c r="RH73" s="20"/>
      <c r="RI73" s="20"/>
      <c r="RJ73" s="20"/>
      <c r="RK73" s="20"/>
      <c r="RL73" s="20"/>
      <c r="RM73" s="20"/>
      <c r="RN73" s="20"/>
      <c r="RO73" s="20"/>
      <c r="RP73" s="20"/>
      <c r="RQ73" s="20"/>
      <c r="RR73" s="20"/>
      <c r="RS73" s="20"/>
      <c r="RT73" s="20"/>
      <c r="RU73" s="20"/>
      <c r="RV73" s="20"/>
      <c r="RW73" s="20"/>
      <c r="RX73" s="20"/>
      <c r="RY73" s="20"/>
      <c r="RZ73" s="20"/>
      <c r="SA73" s="20"/>
      <c r="SB73" s="20"/>
      <c r="SC73" s="20"/>
      <c r="SD73" s="20"/>
      <c r="SE73" s="20"/>
      <c r="SF73" s="20"/>
      <c r="SG73" s="20"/>
      <c r="SH73" s="20"/>
      <c r="SI73" s="20"/>
      <c r="SJ73" s="20"/>
      <c r="SK73" s="20"/>
      <c r="SL73" s="20"/>
      <c r="SM73" s="20"/>
      <c r="SN73" s="20"/>
      <c r="SO73" s="20"/>
      <c r="SP73" s="20"/>
      <c r="SQ73" s="20"/>
      <c r="SR73" s="20"/>
      <c r="SS73" s="20"/>
      <c r="ST73" s="20"/>
      <c r="SU73" s="20"/>
      <c r="SV73" s="20"/>
      <c r="SW73" s="20"/>
      <c r="SX73" s="20"/>
      <c r="SY73" s="20"/>
      <c r="SZ73" s="20"/>
      <c r="TA73" s="20"/>
      <c r="TB73" s="20"/>
      <c r="TC73" s="20"/>
      <c r="TD73" s="20"/>
      <c r="TE73" s="20"/>
      <c r="TF73" s="20"/>
      <c r="TG73" s="20"/>
      <c r="TH73" s="20"/>
      <c r="TI73" s="20"/>
      <c r="TJ73" s="20"/>
      <c r="TK73" s="20"/>
      <c r="TL73" s="20"/>
      <c r="TM73" s="20"/>
      <c r="TN73" s="20"/>
      <c r="TO73" s="20"/>
      <c r="TP73" s="20"/>
      <c r="TQ73" s="20"/>
      <c r="TR73" s="20"/>
      <c r="TS73" s="20"/>
      <c r="TT73" s="20"/>
      <c r="TU73" s="20"/>
      <c r="TV73" s="20"/>
      <c r="TW73" s="20"/>
      <c r="TX73" s="20"/>
      <c r="TY73" s="20"/>
      <c r="TZ73" s="20"/>
      <c r="UA73" s="20"/>
      <c r="UB73" s="20"/>
      <c r="UC73" s="20"/>
      <c r="UD73" s="20"/>
      <c r="UE73" s="20"/>
      <c r="UF73" s="20"/>
      <c r="UG73" s="20"/>
      <c r="UH73" s="20"/>
      <c r="UI73" s="20"/>
      <c r="UJ73" s="20"/>
      <c r="UK73" s="20"/>
      <c r="UL73" s="20"/>
      <c r="UM73" s="20"/>
      <c r="UN73" s="20"/>
      <c r="UO73" s="20"/>
      <c r="UP73" s="20"/>
      <c r="UQ73" s="20"/>
      <c r="UR73" s="20"/>
      <c r="US73" s="20"/>
      <c r="UT73" s="20"/>
      <c r="UU73" s="20"/>
      <c r="UV73" s="20"/>
      <c r="UW73" s="20"/>
      <c r="UX73" s="20"/>
      <c r="UY73" s="20"/>
      <c r="UZ73" s="20"/>
      <c r="VA73" s="20"/>
      <c r="VB73" s="20"/>
      <c r="VC73" s="20"/>
      <c r="VD73" s="20"/>
      <c r="VE73" s="20"/>
      <c r="VF73" s="20"/>
      <c r="VG73" s="20"/>
      <c r="VH73" s="20"/>
      <c r="VI73" s="20"/>
      <c r="VJ73" s="20"/>
      <c r="VK73" s="20"/>
      <c r="VL73" s="20"/>
      <c r="VM73" s="20"/>
      <c r="VN73" s="20"/>
      <c r="VO73" s="20"/>
      <c r="VP73" s="20"/>
      <c r="VQ73" s="20"/>
      <c r="VR73" s="20"/>
      <c r="VS73" s="20"/>
      <c r="VT73" s="20"/>
      <c r="VU73" s="20"/>
      <c r="VV73" s="20"/>
      <c r="VW73" s="20"/>
      <c r="VX73" s="20"/>
      <c r="VY73" s="20"/>
      <c r="VZ73" s="20"/>
      <c r="WA73" s="20"/>
      <c r="WB73" s="20"/>
      <c r="WC73" s="20"/>
      <c r="WD73" s="20"/>
      <c r="WE73" s="20"/>
      <c r="WF73" s="20"/>
      <c r="WG73" s="20"/>
      <c r="WH73" s="20"/>
      <c r="WI73" s="20"/>
      <c r="WJ73" s="20"/>
      <c r="WK73" s="20"/>
      <c r="WL73" s="20"/>
      <c r="WM73" s="20"/>
      <c r="WN73" s="20"/>
      <c r="WO73" s="20"/>
      <c r="WP73" s="20"/>
      <c r="WQ73" s="20"/>
      <c r="WR73" s="20"/>
      <c r="WS73" s="20"/>
      <c r="WT73" s="20"/>
      <c r="WU73" s="20"/>
      <c r="WV73" s="20"/>
      <c r="WW73" s="20"/>
      <c r="WX73" s="20"/>
      <c r="WY73" s="20"/>
      <c r="WZ73" s="20"/>
      <c r="XA73" s="20"/>
      <c r="XB73" s="20"/>
      <c r="XC73" s="20"/>
      <c r="XD73" s="20"/>
      <c r="XE73" s="20"/>
      <c r="XF73" s="20"/>
      <c r="XG73" s="20"/>
      <c r="XH73" s="20"/>
      <c r="XI73" s="20"/>
      <c r="XJ73" s="20"/>
      <c r="XK73" s="20"/>
      <c r="XL73" s="20"/>
      <c r="XM73" s="20"/>
      <c r="XN73" s="20"/>
      <c r="XO73" s="20"/>
      <c r="XP73" s="20"/>
      <c r="XQ73" s="20"/>
      <c r="XR73" s="20"/>
      <c r="XS73" s="20"/>
      <c r="XT73" s="20"/>
      <c r="XU73" s="20"/>
      <c r="XV73" s="20"/>
      <c r="XW73" s="20"/>
      <c r="XX73" s="20"/>
      <c r="XY73" s="20"/>
      <c r="XZ73" s="20"/>
      <c r="YA73" s="20"/>
      <c r="YB73" s="20"/>
      <c r="YC73" s="20"/>
      <c r="YD73" s="20"/>
      <c r="YE73" s="20"/>
      <c r="YF73" s="20"/>
      <c r="YG73" s="20"/>
      <c r="YH73" s="20"/>
      <c r="YI73" s="20"/>
      <c r="YJ73" s="20"/>
      <c r="YK73" s="20"/>
      <c r="YL73" s="20"/>
      <c r="YM73" s="20"/>
      <c r="YN73" s="20"/>
      <c r="YO73" s="20"/>
      <c r="YP73" s="20"/>
      <c r="YQ73" s="20"/>
      <c r="YR73" s="20"/>
      <c r="YS73" s="20"/>
      <c r="YT73" s="20"/>
      <c r="YU73" s="20"/>
      <c r="YV73" s="20"/>
      <c r="YW73" s="20"/>
      <c r="YX73" s="20"/>
      <c r="YY73" s="20"/>
      <c r="YZ73" s="20"/>
      <c r="ZA73" s="20"/>
      <c r="ZB73" s="20"/>
      <c r="ZC73" s="20"/>
      <c r="ZD73" s="20"/>
      <c r="ZE73" s="20"/>
      <c r="ZF73" s="20"/>
      <c r="ZG73" s="20"/>
      <c r="ZH73" s="20"/>
      <c r="ZI73" s="20"/>
      <c r="ZJ73" s="20"/>
      <c r="ZK73" s="20"/>
      <c r="ZL73" s="20"/>
      <c r="ZM73" s="20"/>
      <c r="ZN73" s="20"/>
      <c r="ZO73" s="20"/>
      <c r="ZP73" s="20"/>
      <c r="ZQ73" s="20"/>
      <c r="ZR73" s="20"/>
      <c r="ZS73" s="20"/>
      <c r="ZT73" s="20"/>
      <c r="ZU73" s="20"/>
      <c r="ZV73" s="20"/>
      <c r="ZW73" s="20"/>
      <c r="ZX73" s="20"/>
      <c r="ZY73" s="20"/>
      <c r="ZZ73" s="20"/>
      <c r="AAA73" s="20"/>
      <c r="AAB73" s="20"/>
      <c r="AAC73" s="20"/>
      <c r="AAD73" s="20"/>
      <c r="AAE73" s="20"/>
      <c r="AAF73" s="20"/>
      <c r="AAG73" s="20"/>
      <c r="AAH73" s="20"/>
      <c r="AAI73" s="20"/>
      <c r="AAJ73" s="20"/>
      <c r="AAK73" s="20"/>
      <c r="AAL73" s="20"/>
      <c r="AAM73" s="20"/>
      <c r="AAN73" s="20"/>
      <c r="AAO73" s="20"/>
      <c r="AAP73" s="20"/>
      <c r="AAQ73" s="20"/>
      <c r="AAR73" s="20"/>
      <c r="AAS73" s="20"/>
      <c r="AAT73" s="20"/>
      <c r="AAU73" s="20"/>
      <c r="AAV73" s="20"/>
      <c r="AAW73" s="20"/>
      <c r="AAX73" s="20"/>
      <c r="AAY73" s="20"/>
      <c r="AAZ73" s="20"/>
      <c r="ABA73" s="20"/>
      <c r="ABB73" s="20"/>
      <c r="ABC73" s="20"/>
      <c r="ABD73" s="20"/>
      <c r="ABE73" s="20"/>
      <c r="ABF73" s="20"/>
      <c r="ABG73" s="20"/>
      <c r="ABH73" s="20"/>
      <c r="ABI73" s="20"/>
      <c r="ABJ73" s="20"/>
      <c r="ABK73" s="20"/>
      <c r="ABL73" s="20"/>
      <c r="ABM73" s="20"/>
      <c r="ABN73" s="20"/>
      <c r="ABO73" s="20"/>
      <c r="ABP73" s="20"/>
      <c r="ABQ73" s="20"/>
      <c r="ABR73" s="20"/>
      <c r="ABS73" s="20"/>
      <c r="ABT73" s="20"/>
      <c r="ABU73" s="20"/>
      <c r="ABV73" s="20"/>
      <c r="ABW73" s="20"/>
      <c r="ABX73" s="20"/>
      <c r="ABY73" s="20"/>
      <c r="ABZ73" s="20"/>
      <c r="ACA73" s="20"/>
      <c r="ACB73" s="20"/>
      <c r="ACC73" s="20"/>
      <c r="ACD73" s="20"/>
      <c r="ACE73" s="20"/>
      <c r="ACF73" s="20"/>
      <c r="ACG73" s="20"/>
      <c r="ACH73" s="20"/>
      <c r="ACI73" s="20"/>
      <c r="ACJ73" s="20"/>
      <c r="ACK73" s="20"/>
      <c r="ACL73" s="20"/>
      <c r="ACM73" s="20"/>
      <c r="ACN73" s="20"/>
      <c r="ACO73" s="20"/>
      <c r="ACP73" s="20"/>
      <c r="ACQ73" s="20"/>
    </row>
    <row r="74" spans="1:771" s="62" customFormat="1" ht="84.95">
      <c r="A74" s="57"/>
      <c r="B74" s="61" t="s">
        <v>361</v>
      </c>
      <c r="D74" s="61" t="s">
        <v>362</v>
      </c>
      <c r="F74" s="63" t="s">
        <v>363</v>
      </c>
      <c r="H74" s="61" t="s">
        <v>364</v>
      </c>
      <c r="J74" s="61" t="s">
        <v>365</v>
      </c>
      <c r="L74" s="61" t="s">
        <v>74</v>
      </c>
      <c r="N74" s="61" t="s">
        <v>185</v>
      </c>
      <c r="P74" s="61" t="s">
        <v>366</v>
      </c>
      <c r="R74" s="63" t="s">
        <v>77</v>
      </c>
      <c r="T74" s="65" t="s">
        <v>367</v>
      </c>
      <c r="U74" s="66"/>
      <c r="V74" s="67" t="s">
        <v>79</v>
      </c>
      <c r="W74" s="68"/>
      <c r="X74" s="67" t="s">
        <v>80</v>
      </c>
      <c r="Y74" s="68"/>
      <c r="Z74" s="67" t="s">
        <v>80</v>
      </c>
      <c r="AA74" s="68"/>
      <c r="AB74" s="67" t="s">
        <v>80</v>
      </c>
      <c r="AD74" s="63" t="s">
        <v>368</v>
      </c>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c r="IW74" s="20"/>
      <c r="IX74" s="20"/>
      <c r="IY74" s="20"/>
      <c r="IZ74" s="20"/>
      <c r="JA74" s="20"/>
      <c r="JB74" s="20"/>
      <c r="JC74" s="20"/>
      <c r="JD74" s="20"/>
      <c r="JE74" s="20"/>
      <c r="JF74" s="20"/>
      <c r="JG74" s="20"/>
      <c r="JH74" s="20"/>
      <c r="JI74" s="20"/>
      <c r="JJ74" s="20"/>
      <c r="JK74" s="20"/>
      <c r="JL74" s="20"/>
      <c r="JM74" s="20"/>
      <c r="JN74" s="20"/>
      <c r="JO74" s="20"/>
      <c r="JP74" s="20"/>
      <c r="JQ74" s="20"/>
      <c r="JR74" s="20"/>
      <c r="JS74" s="20"/>
      <c r="JT74" s="20"/>
      <c r="JU74" s="20"/>
      <c r="JV74" s="20"/>
      <c r="JW74" s="20"/>
      <c r="JX74" s="20"/>
      <c r="JY74" s="20"/>
      <c r="JZ74" s="20"/>
      <c r="KA74" s="20"/>
      <c r="KB74" s="20"/>
      <c r="KC74" s="20"/>
      <c r="KD74" s="20"/>
      <c r="KE74" s="20"/>
      <c r="KF74" s="20"/>
      <c r="KG74" s="20"/>
      <c r="KH74" s="20"/>
      <c r="KI74" s="20"/>
      <c r="KJ74" s="20"/>
      <c r="KK74" s="20"/>
      <c r="KL74" s="20"/>
      <c r="KM74" s="20"/>
      <c r="KN74" s="20"/>
      <c r="KO74" s="20"/>
      <c r="KP74" s="20"/>
      <c r="KQ74" s="20"/>
      <c r="KR74" s="20"/>
      <c r="KS74" s="20"/>
      <c r="KT74" s="20"/>
      <c r="KU74" s="20"/>
      <c r="KV74" s="20"/>
      <c r="KW74" s="20"/>
      <c r="KX74" s="20"/>
      <c r="KY74" s="20"/>
      <c r="KZ74" s="20"/>
      <c r="LA74" s="20"/>
      <c r="LB74" s="20"/>
      <c r="LC74" s="20"/>
      <c r="LD74" s="20"/>
      <c r="LE74" s="20"/>
      <c r="LF74" s="20"/>
      <c r="LG74" s="20"/>
      <c r="LH74" s="20"/>
      <c r="LI74" s="20"/>
      <c r="LJ74" s="20"/>
      <c r="LK74" s="20"/>
      <c r="LL74" s="20"/>
      <c r="LM74" s="20"/>
      <c r="LN74" s="20"/>
      <c r="LO74" s="20"/>
      <c r="LP74" s="20"/>
      <c r="LQ74" s="20"/>
      <c r="LR74" s="20"/>
      <c r="LS74" s="20"/>
      <c r="LT74" s="20"/>
      <c r="LU74" s="20"/>
      <c r="LV74" s="20"/>
      <c r="LW74" s="20"/>
      <c r="LX74" s="20"/>
      <c r="LY74" s="20"/>
      <c r="LZ74" s="20"/>
      <c r="MA74" s="20"/>
      <c r="MB74" s="20"/>
      <c r="MC74" s="20"/>
      <c r="MD74" s="20"/>
      <c r="ME74" s="20"/>
      <c r="MF74" s="20"/>
      <c r="MG74" s="20"/>
      <c r="MH74" s="20"/>
      <c r="MI74" s="20"/>
      <c r="MJ74" s="20"/>
      <c r="MK74" s="20"/>
      <c r="ML74" s="20"/>
      <c r="MM74" s="20"/>
      <c r="MN74" s="20"/>
      <c r="MO74" s="20"/>
      <c r="MP74" s="20"/>
      <c r="MQ74" s="20"/>
      <c r="MR74" s="20"/>
      <c r="MS74" s="20"/>
      <c r="MT74" s="20"/>
      <c r="MU74" s="20"/>
      <c r="MV74" s="20"/>
      <c r="MW74" s="20"/>
      <c r="MX74" s="20"/>
      <c r="MY74" s="20"/>
      <c r="MZ74" s="20"/>
      <c r="NA74" s="20"/>
      <c r="NB74" s="20"/>
      <c r="NC74" s="20"/>
      <c r="ND74" s="20"/>
      <c r="NE74" s="20"/>
      <c r="NF74" s="20"/>
      <c r="NG74" s="20"/>
      <c r="NH74" s="20"/>
      <c r="NI74" s="20"/>
      <c r="NJ74" s="20"/>
      <c r="NK74" s="20"/>
      <c r="NL74" s="20"/>
      <c r="NM74" s="20"/>
      <c r="NN74" s="20"/>
      <c r="NO74" s="20"/>
      <c r="NP74" s="20"/>
      <c r="NQ74" s="20"/>
      <c r="NR74" s="20"/>
      <c r="NS74" s="20"/>
      <c r="NT74" s="20"/>
      <c r="NU74" s="20"/>
      <c r="NV74" s="20"/>
      <c r="NW74" s="20"/>
      <c r="NX74" s="20"/>
      <c r="NY74" s="20"/>
      <c r="NZ74" s="20"/>
      <c r="OA74" s="20"/>
      <c r="OB74" s="20"/>
      <c r="OC74" s="20"/>
      <c r="OD74" s="20"/>
      <c r="OE74" s="20"/>
      <c r="OF74" s="20"/>
      <c r="OG74" s="20"/>
      <c r="OH74" s="20"/>
      <c r="OI74" s="20"/>
      <c r="OJ74" s="20"/>
      <c r="OK74" s="20"/>
      <c r="OL74" s="20"/>
      <c r="OM74" s="20"/>
      <c r="ON74" s="20"/>
      <c r="OO74" s="20"/>
      <c r="OP74" s="20"/>
      <c r="OQ74" s="20"/>
      <c r="OR74" s="20"/>
      <c r="OS74" s="20"/>
      <c r="OT74" s="20"/>
      <c r="OU74" s="20"/>
      <c r="OV74" s="20"/>
      <c r="OW74" s="20"/>
      <c r="OX74" s="20"/>
      <c r="OY74" s="20"/>
      <c r="OZ74" s="20"/>
      <c r="PA74" s="20"/>
      <c r="PB74" s="20"/>
      <c r="PC74" s="20"/>
      <c r="PD74" s="20"/>
      <c r="PE74" s="20"/>
      <c r="PF74" s="20"/>
      <c r="PG74" s="20"/>
      <c r="PH74" s="20"/>
      <c r="PI74" s="20"/>
      <c r="PJ74" s="20"/>
      <c r="PK74" s="20"/>
      <c r="PL74" s="20"/>
      <c r="PM74" s="20"/>
      <c r="PN74" s="20"/>
      <c r="PO74" s="20"/>
      <c r="PP74" s="20"/>
      <c r="PQ74" s="20"/>
      <c r="PR74" s="20"/>
      <c r="PS74" s="20"/>
      <c r="PT74" s="20"/>
      <c r="PU74" s="20"/>
      <c r="PV74" s="20"/>
      <c r="PW74" s="20"/>
      <c r="PX74" s="20"/>
      <c r="PY74" s="20"/>
      <c r="PZ74" s="20"/>
      <c r="QA74" s="20"/>
      <c r="QB74" s="20"/>
      <c r="QC74" s="20"/>
      <c r="QD74" s="20"/>
      <c r="QE74" s="20"/>
      <c r="QF74" s="20"/>
      <c r="QG74" s="20"/>
      <c r="QH74" s="20"/>
      <c r="QI74" s="20"/>
      <c r="QJ74" s="20"/>
      <c r="QK74" s="20"/>
      <c r="QL74" s="20"/>
      <c r="QM74" s="20"/>
      <c r="QN74" s="20"/>
      <c r="QO74" s="20"/>
      <c r="QP74" s="20"/>
      <c r="QQ74" s="20"/>
      <c r="QR74" s="20"/>
      <c r="QS74" s="20"/>
      <c r="QT74" s="20"/>
      <c r="QU74" s="20"/>
      <c r="QV74" s="20"/>
      <c r="QW74" s="20"/>
      <c r="QX74" s="20"/>
      <c r="QY74" s="20"/>
      <c r="QZ74" s="20"/>
      <c r="RA74" s="20"/>
      <c r="RB74" s="20"/>
      <c r="RC74" s="20"/>
      <c r="RD74" s="20"/>
      <c r="RE74" s="20"/>
      <c r="RF74" s="20"/>
      <c r="RG74" s="20"/>
      <c r="RH74" s="20"/>
      <c r="RI74" s="20"/>
      <c r="RJ74" s="20"/>
      <c r="RK74" s="20"/>
      <c r="RL74" s="20"/>
      <c r="RM74" s="20"/>
      <c r="RN74" s="20"/>
      <c r="RO74" s="20"/>
      <c r="RP74" s="20"/>
      <c r="RQ74" s="20"/>
      <c r="RR74" s="20"/>
      <c r="RS74" s="20"/>
      <c r="RT74" s="20"/>
      <c r="RU74" s="20"/>
      <c r="RV74" s="20"/>
      <c r="RW74" s="20"/>
      <c r="RX74" s="20"/>
      <c r="RY74" s="20"/>
      <c r="RZ74" s="20"/>
      <c r="SA74" s="20"/>
      <c r="SB74" s="20"/>
      <c r="SC74" s="20"/>
      <c r="SD74" s="20"/>
      <c r="SE74" s="20"/>
      <c r="SF74" s="20"/>
      <c r="SG74" s="20"/>
      <c r="SH74" s="20"/>
      <c r="SI74" s="20"/>
      <c r="SJ74" s="20"/>
      <c r="SK74" s="20"/>
      <c r="SL74" s="20"/>
      <c r="SM74" s="20"/>
      <c r="SN74" s="20"/>
      <c r="SO74" s="20"/>
      <c r="SP74" s="20"/>
      <c r="SQ74" s="20"/>
      <c r="SR74" s="20"/>
      <c r="SS74" s="20"/>
      <c r="ST74" s="20"/>
      <c r="SU74" s="20"/>
      <c r="SV74" s="20"/>
      <c r="SW74" s="20"/>
      <c r="SX74" s="20"/>
      <c r="SY74" s="20"/>
      <c r="SZ74" s="20"/>
      <c r="TA74" s="20"/>
      <c r="TB74" s="20"/>
      <c r="TC74" s="20"/>
      <c r="TD74" s="20"/>
      <c r="TE74" s="20"/>
      <c r="TF74" s="20"/>
      <c r="TG74" s="20"/>
      <c r="TH74" s="20"/>
      <c r="TI74" s="20"/>
      <c r="TJ74" s="20"/>
      <c r="TK74" s="20"/>
      <c r="TL74" s="20"/>
      <c r="TM74" s="20"/>
      <c r="TN74" s="20"/>
      <c r="TO74" s="20"/>
      <c r="TP74" s="20"/>
      <c r="TQ74" s="20"/>
      <c r="TR74" s="20"/>
      <c r="TS74" s="20"/>
      <c r="TT74" s="20"/>
      <c r="TU74" s="20"/>
      <c r="TV74" s="20"/>
      <c r="TW74" s="20"/>
      <c r="TX74" s="20"/>
      <c r="TY74" s="20"/>
      <c r="TZ74" s="20"/>
      <c r="UA74" s="20"/>
      <c r="UB74" s="20"/>
      <c r="UC74" s="20"/>
      <c r="UD74" s="20"/>
      <c r="UE74" s="20"/>
      <c r="UF74" s="20"/>
      <c r="UG74" s="20"/>
      <c r="UH74" s="20"/>
      <c r="UI74" s="20"/>
      <c r="UJ74" s="20"/>
      <c r="UK74" s="20"/>
      <c r="UL74" s="20"/>
      <c r="UM74" s="20"/>
      <c r="UN74" s="20"/>
      <c r="UO74" s="20"/>
      <c r="UP74" s="20"/>
      <c r="UQ74" s="20"/>
      <c r="UR74" s="20"/>
      <c r="US74" s="20"/>
      <c r="UT74" s="20"/>
      <c r="UU74" s="20"/>
      <c r="UV74" s="20"/>
      <c r="UW74" s="20"/>
      <c r="UX74" s="20"/>
      <c r="UY74" s="20"/>
      <c r="UZ74" s="20"/>
      <c r="VA74" s="20"/>
      <c r="VB74" s="20"/>
      <c r="VC74" s="20"/>
      <c r="VD74" s="20"/>
      <c r="VE74" s="20"/>
      <c r="VF74" s="20"/>
      <c r="VG74" s="20"/>
      <c r="VH74" s="20"/>
      <c r="VI74" s="20"/>
      <c r="VJ74" s="20"/>
      <c r="VK74" s="20"/>
      <c r="VL74" s="20"/>
      <c r="VM74" s="20"/>
      <c r="VN74" s="20"/>
      <c r="VO74" s="20"/>
      <c r="VP74" s="20"/>
      <c r="VQ74" s="20"/>
      <c r="VR74" s="20"/>
      <c r="VS74" s="20"/>
      <c r="VT74" s="20"/>
      <c r="VU74" s="20"/>
      <c r="VV74" s="20"/>
      <c r="VW74" s="20"/>
      <c r="VX74" s="20"/>
      <c r="VY74" s="20"/>
      <c r="VZ74" s="20"/>
      <c r="WA74" s="20"/>
      <c r="WB74" s="20"/>
      <c r="WC74" s="20"/>
      <c r="WD74" s="20"/>
      <c r="WE74" s="20"/>
      <c r="WF74" s="20"/>
      <c r="WG74" s="20"/>
      <c r="WH74" s="20"/>
      <c r="WI74" s="20"/>
      <c r="WJ74" s="20"/>
      <c r="WK74" s="20"/>
      <c r="WL74" s="20"/>
      <c r="WM74" s="20"/>
      <c r="WN74" s="20"/>
      <c r="WO74" s="20"/>
      <c r="WP74" s="20"/>
      <c r="WQ74" s="20"/>
      <c r="WR74" s="20"/>
      <c r="WS74" s="20"/>
      <c r="WT74" s="20"/>
      <c r="WU74" s="20"/>
      <c r="WV74" s="20"/>
      <c r="WW74" s="20"/>
      <c r="WX74" s="20"/>
      <c r="WY74" s="20"/>
      <c r="WZ74" s="20"/>
      <c r="XA74" s="20"/>
      <c r="XB74" s="20"/>
      <c r="XC74" s="20"/>
      <c r="XD74" s="20"/>
      <c r="XE74" s="20"/>
      <c r="XF74" s="20"/>
      <c r="XG74" s="20"/>
      <c r="XH74" s="20"/>
      <c r="XI74" s="20"/>
      <c r="XJ74" s="20"/>
      <c r="XK74" s="20"/>
      <c r="XL74" s="20"/>
      <c r="XM74" s="20"/>
      <c r="XN74" s="20"/>
      <c r="XO74" s="20"/>
      <c r="XP74" s="20"/>
      <c r="XQ74" s="20"/>
      <c r="XR74" s="20"/>
      <c r="XS74" s="20"/>
      <c r="XT74" s="20"/>
      <c r="XU74" s="20"/>
      <c r="XV74" s="20"/>
      <c r="XW74" s="20"/>
      <c r="XX74" s="20"/>
      <c r="XY74" s="20"/>
      <c r="XZ74" s="20"/>
      <c r="YA74" s="20"/>
      <c r="YB74" s="20"/>
      <c r="YC74" s="20"/>
      <c r="YD74" s="20"/>
      <c r="YE74" s="20"/>
      <c r="YF74" s="20"/>
      <c r="YG74" s="20"/>
      <c r="YH74" s="20"/>
      <c r="YI74" s="20"/>
      <c r="YJ74" s="20"/>
      <c r="YK74" s="20"/>
      <c r="YL74" s="20"/>
      <c r="YM74" s="20"/>
      <c r="YN74" s="20"/>
      <c r="YO74" s="20"/>
      <c r="YP74" s="20"/>
      <c r="YQ74" s="20"/>
      <c r="YR74" s="20"/>
      <c r="YS74" s="20"/>
      <c r="YT74" s="20"/>
      <c r="YU74" s="20"/>
      <c r="YV74" s="20"/>
      <c r="YW74" s="20"/>
      <c r="YX74" s="20"/>
      <c r="YY74" s="20"/>
      <c r="YZ74" s="20"/>
      <c r="ZA74" s="20"/>
      <c r="ZB74" s="20"/>
      <c r="ZC74" s="20"/>
      <c r="ZD74" s="20"/>
      <c r="ZE74" s="20"/>
      <c r="ZF74" s="20"/>
      <c r="ZG74" s="20"/>
      <c r="ZH74" s="20"/>
      <c r="ZI74" s="20"/>
      <c r="ZJ74" s="20"/>
      <c r="ZK74" s="20"/>
      <c r="ZL74" s="20"/>
      <c r="ZM74" s="20"/>
      <c r="ZN74" s="20"/>
      <c r="ZO74" s="20"/>
      <c r="ZP74" s="20"/>
      <c r="ZQ74" s="20"/>
      <c r="ZR74" s="20"/>
      <c r="ZS74" s="20"/>
      <c r="ZT74" s="20"/>
      <c r="ZU74" s="20"/>
      <c r="ZV74" s="20"/>
      <c r="ZW74" s="20"/>
      <c r="ZX74" s="20"/>
      <c r="ZY74" s="20"/>
      <c r="ZZ74" s="20"/>
      <c r="AAA74" s="20"/>
      <c r="AAB74" s="20"/>
      <c r="AAC74" s="20"/>
      <c r="AAD74" s="20"/>
      <c r="AAE74" s="20"/>
      <c r="AAF74" s="20"/>
      <c r="AAG74" s="20"/>
      <c r="AAH74" s="20"/>
      <c r="AAI74" s="20"/>
      <c r="AAJ74" s="20"/>
      <c r="AAK74" s="20"/>
      <c r="AAL74" s="20"/>
      <c r="AAM74" s="20"/>
      <c r="AAN74" s="20"/>
      <c r="AAO74" s="20"/>
      <c r="AAP74" s="20"/>
      <c r="AAQ74" s="20"/>
      <c r="AAR74" s="20"/>
      <c r="AAS74" s="20"/>
      <c r="AAT74" s="20"/>
      <c r="AAU74" s="20"/>
      <c r="AAV74" s="20"/>
      <c r="AAW74" s="20"/>
      <c r="AAX74" s="20"/>
      <c r="AAY74" s="20"/>
      <c r="AAZ74" s="20"/>
      <c r="ABA74" s="20"/>
      <c r="ABB74" s="20"/>
      <c r="ABC74" s="20"/>
      <c r="ABD74" s="20"/>
      <c r="ABE74" s="20"/>
      <c r="ABF74" s="20"/>
      <c r="ABG74" s="20"/>
      <c r="ABH74" s="20"/>
      <c r="ABI74" s="20"/>
      <c r="ABJ74" s="20"/>
      <c r="ABK74" s="20"/>
      <c r="ABL74" s="20"/>
      <c r="ABM74" s="20"/>
      <c r="ABN74" s="20"/>
      <c r="ABO74" s="20"/>
      <c r="ABP74" s="20"/>
      <c r="ABQ74" s="20"/>
      <c r="ABR74" s="20"/>
      <c r="ABS74" s="20"/>
      <c r="ABT74" s="20"/>
      <c r="ABU74" s="20"/>
      <c r="ABV74" s="20"/>
      <c r="ABW74" s="20"/>
      <c r="ABX74" s="20"/>
      <c r="ABY74" s="20"/>
      <c r="ABZ74" s="20"/>
      <c r="ACA74" s="20"/>
      <c r="ACB74" s="20"/>
      <c r="ACC74" s="20"/>
      <c r="ACD74" s="20"/>
      <c r="ACE74" s="20"/>
      <c r="ACF74" s="20"/>
      <c r="ACG74" s="20"/>
      <c r="ACH74" s="20"/>
      <c r="ACI74" s="20"/>
      <c r="ACJ74" s="20"/>
      <c r="ACK74" s="20"/>
      <c r="ACL74" s="20"/>
      <c r="ACM74" s="20"/>
      <c r="ACN74" s="20"/>
      <c r="ACO74" s="20"/>
      <c r="ACP74" s="20"/>
      <c r="ACQ74" s="20"/>
    </row>
    <row r="75" spans="1:771" s="62" customFormat="1" ht="84.95">
      <c r="A75" s="57"/>
      <c r="B75" s="61" t="s">
        <v>361</v>
      </c>
      <c r="D75" s="61" t="s">
        <v>362</v>
      </c>
      <c r="F75" s="63" t="s">
        <v>363</v>
      </c>
      <c r="H75" s="61" t="s">
        <v>72</v>
      </c>
      <c r="J75" s="61" t="s">
        <v>365</v>
      </c>
      <c r="L75" s="61" t="s">
        <v>74</v>
      </c>
      <c r="N75" s="61" t="s">
        <v>103</v>
      </c>
      <c r="P75" s="61" t="s">
        <v>366</v>
      </c>
      <c r="R75" s="63" t="s">
        <v>77</v>
      </c>
      <c r="T75" s="65" t="s">
        <v>367</v>
      </c>
      <c r="U75" s="66"/>
      <c r="V75" s="67" t="s">
        <v>79</v>
      </c>
      <c r="W75" s="68"/>
      <c r="X75" s="67" t="s">
        <v>80</v>
      </c>
      <c r="Y75" s="68"/>
      <c r="Z75" s="67" t="s">
        <v>80</v>
      </c>
      <c r="AA75" s="68"/>
      <c r="AB75" s="67" t="s">
        <v>80</v>
      </c>
      <c r="AD75" s="63" t="s">
        <v>368</v>
      </c>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c r="JC75" s="20"/>
      <c r="JD75" s="20"/>
      <c r="JE75" s="20"/>
      <c r="JF75" s="20"/>
      <c r="JG75" s="20"/>
      <c r="JH75" s="20"/>
      <c r="JI75" s="20"/>
      <c r="JJ75" s="20"/>
      <c r="JK75" s="20"/>
      <c r="JL75" s="20"/>
      <c r="JM75" s="20"/>
      <c r="JN75" s="20"/>
      <c r="JO75" s="20"/>
      <c r="JP75" s="20"/>
      <c r="JQ75" s="20"/>
      <c r="JR75" s="20"/>
      <c r="JS75" s="20"/>
      <c r="JT75" s="20"/>
      <c r="JU75" s="20"/>
      <c r="JV75" s="20"/>
      <c r="JW75" s="20"/>
      <c r="JX75" s="20"/>
      <c r="JY75" s="20"/>
      <c r="JZ75" s="20"/>
      <c r="KA75" s="20"/>
      <c r="KB75" s="20"/>
      <c r="KC75" s="20"/>
      <c r="KD75" s="20"/>
      <c r="KE75" s="20"/>
      <c r="KF75" s="20"/>
      <c r="KG75" s="20"/>
      <c r="KH75" s="20"/>
      <c r="KI75" s="20"/>
      <c r="KJ75" s="20"/>
      <c r="KK75" s="20"/>
      <c r="KL75" s="20"/>
      <c r="KM75" s="20"/>
      <c r="KN75" s="20"/>
      <c r="KO75" s="20"/>
      <c r="KP75" s="20"/>
      <c r="KQ75" s="20"/>
      <c r="KR75" s="20"/>
      <c r="KS75" s="20"/>
      <c r="KT75" s="20"/>
      <c r="KU75" s="20"/>
      <c r="KV75" s="20"/>
      <c r="KW75" s="20"/>
      <c r="KX75" s="20"/>
      <c r="KY75" s="20"/>
      <c r="KZ75" s="20"/>
      <c r="LA75" s="20"/>
      <c r="LB75" s="20"/>
      <c r="LC75" s="20"/>
      <c r="LD75" s="20"/>
      <c r="LE75" s="20"/>
      <c r="LF75" s="20"/>
      <c r="LG75" s="20"/>
      <c r="LH75" s="20"/>
      <c r="LI75" s="20"/>
      <c r="LJ75" s="20"/>
      <c r="LK75" s="20"/>
      <c r="LL75" s="20"/>
      <c r="LM75" s="20"/>
      <c r="LN75" s="20"/>
      <c r="LO75" s="20"/>
      <c r="LP75" s="20"/>
      <c r="LQ75" s="20"/>
      <c r="LR75" s="20"/>
      <c r="LS75" s="20"/>
      <c r="LT75" s="20"/>
      <c r="LU75" s="20"/>
      <c r="LV75" s="20"/>
      <c r="LW75" s="20"/>
      <c r="LX75" s="20"/>
      <c r="LY75" s="20"/>
      <c r="LZ75" s="20"/>
      <c r="MA75" s="20"/>
      <c r="MB75" s="20"/>
      <c r="MC75" s="20"/>
      <c r="MD75" s="20"/>
      <c r="ME75" s="20"/>
      <c r="MF75" s="20"/>
      <c r="MG75" s="20"/>
      <c r="MH75" s="20"/>
      <c r="MI75" s="20"/>
      <c r="MJ75" s="20"/>
      <c r="MK75" s="20"/>
      <c r="ML75" s="20"/>
      <c r="MM75" s="20"/>
      <c r="MN75" s="20"/>
      <c r="MO75" s="20"/>
      <c r="MP75" s="20"/>
      <c r="MQ75" s="20"/>
      <c r="MR75" s="20"/>
      <c r="MS75" s="20"/>
      <c r="MT75" s="20"/>
      <c r="MU75" s="20"/>
      <c r="MV75" s="20"/>
      <c r="MW75" s="20"/>
      <c r="MX75" s="20"/>
      <c r="MY75" s="20"/>
      <c r="MZ75" s="20"/>
      <c r="NA75" s="20"/>
      <c r="NB75" s="20"/>
      <c r="NC75" s="20"/>
      <c r="ND75" s="20"/>
      <c r="NE75" s="20"/>
      <c r="NF75" s="20"/>
      <c r="NG75" s="20"/>
      <c r="NH75" s="20"/>
      <c r="NI75" s="20"/>
      <c r="NJ75" s="20"/>
      <c r="NK75" s="20"/>
      <c r="NL75" s="20"/>
      <c r="NM75" s="20"/>
      <c r="NN75" s="20"/>
      <c r="NO75" s="20"/>
      <c r="NP75" s="20"/>
      <c r="NQ75" s="20"/>
      <c r="NR75" s="20"/>
      <c r="NS75" s="20"/>
      <c r="NT75" s="20"/>
      <c r="NU75" s="20"/>
      <c r="NV75" s="20"/>
      <c r="NW75" s="20"/>
      <c r="NX75" s="20"/>
      <c r="NY75" s="20"/>
      <c r="NZ75" s="20"/>
      <c r="OA75" s="20"/>
      <c r="OB75" s="20"/>
      <c r="OC75" s="20"/>
      <c r="OD75" s="20"/>
      <c r="OE75" s="20"/>
      <c r="OF75" s="20"/>
      <c r="OG75" s="20"/>
      <c r="OH75" s="20"/>
      <c r="OI75" s="20"/>
      <c r="OJ75" s="20"/>
      <c r="OK75" s="20"/>
      <c r="OL75" s="20"/>
      <c r="OM75" s="20"/>
      <c r="ON75" s="20"/>
      <c r="OO75" s="20"/>
      <c r="OP75" s="20"/>
      <c r="OQ75" s="20"/>
      <c r="OR75" s="20"/>
      <c r="OS75" s="20"/>
      <c r="OT75" s="20"/>
      <c r="OU75" s="20"/>
      <c r="OV75" s="20"/>
      <c r="OW75" s="20"/>
      <c r="OX75" s="20"/>
      <c r="OY75" s="20"/>
      <c r="OZ75" s="20"/>
      <c r="PA75" s="20"/>
      <c r="PB75" s="20"/>
      <c r="PC75" s="20"/>
      <c r="PD75" s="20"/>
      <c r="PE75" s="20"/>
      <c r="PF75" s="20"/>
      <c r="PG75" s="20"/>
      <c r="PH75" s="20"/>
      <c r="PI75" s="20"/>
      <c r="PJ75" s="20"/>
      <c r="PK75" s="20"/>
      <c r="PL75" s="20"/>
      <c r="PM75" s="20"/>
      <c r="PN75" s="20"/>
      <c r="PO75" s="20"/>
      <c r="PP75" s="20"/>
      <c r="PQ75" s="20"/>
      <c r="PR75" s="20"/>
      <c r="PS75" s="20"/>
      <c r="PT75" s="20"/>
      <c r="PU75" s="20"/>
      <c r="PV75" s="20"/>
      <c r="PW75" s="20"/>
      <c r="PX75" s="20"/>
      <c r="PY75" s="20"/>
      <c r="PZ75" s="20"/>
      <c r="QA75" s="20"/>
      <c r="QB75" s="20"/>
      <c r="QC75" s="20"/>
      <c r="QD75" s="20"/>
      <c r="QE75" s="20"/>
      <c r="QF75" s="20"/>
      <c r="QG75" s="20"/>
      <c r="QH75" s="20"/>
      <c r="QI75" s="20"/>
      <c r="QJ75" s="20"/>
      <c r="QK75" s="20"/>
      <c r="QL75" s="20"/>
      <c r="QM75" s="20"/>
      <c r="QN75" s="20"/>
      <c r="QO75" s="20"/>
      <c r="QP75" s="20"/>
      <c r="QQ75" s="20"/>
      <c r="QR75" s="20"/>
      <c r="QS75" s="20"/>
      <c r="QT75" s="20"/>
      <c r="QU75" s="20"/>
      <c r="QV75" s="20"/>
      <c r="QW75" s="20"/>
      <c r="QX75" s="20"/>
      <c r="QY75" s="20"/>
      <c r="QZ75" s="20"/>
      <c r="RA75" s="20"/>
      <c r="RB75" s="20"/>
      <c r="RC75" s="20"/>
      <c r="RD75" s="20"/>
      <c r="RE75" s="20"/>
      <c r="RF75" s="20"/>
      <c r="RG75" s="20"/>
      <c r="RH75" s="20"/>
      <c r="RI75" s="20"/>
      <c r="RJ75" s="20"/>
      <c r="RK75" s="20"/>
      <c r="RL75" s="20"/>
      <c r="RM75" s="20"/>
      <c r="RN75" s="20"/>
      <c r="RO75" s="20"/>
      <c r="RP75" s="20"/>
      <c r="RQ75" s="20"/>
      <c r="RR75" s="20"/>
      <c r="RS75" s="20"/>
      <c r="RT75" s="20"/>
      <c r="RU75" s="20"/>
      <c r="RV75" s="20"/>
      <c r="RW75" s="20"/>
      <c r="RX75" s="20"/>
      <c r="RY75" s="20"/>
      <c r="RZ75" s="20"/>
      <c r="SA75" s="20"/>
      <c r="SB75" s="20"/>
      <c r="SC75" s="20"/>
      <c r="SD75" s="20"/>
      <c r="SE75" s="20"/>
      <c r="SF75" s="20"/>
      <c r="SG75" s="20"/>
      <c r="SH75" s="20"/>
      <c r="SI75" s="20"/>
      <c r="SJ75" s="20"/>
      <c r="SK75" s="20"/>
      <c r="SL75" s="20"/>
      <c r="SM75" s="20"/>
      <c r="SN75" s="20"/>
      <c r="SO75" s="20"/>
      <c r="SP75" s="20"/>
      <c r="SQ75" s="20"/>
      <c r="SR75" s="20"/>
      <c r="SS75" s="20"/>
      <c r="ST75" s="20"/>
      <c r="SU75" s="20"/>
      <c r="SV75" s="20"/>
      <c r="SW75" s="20"/>
      <c r="SX75" s="20"/>
      <c r="SY75" s="20"/>
      <c r="SZ75" s="20"/>
      <c r="TA75" s="20"/>
      <c r="TB75" s="20"/>
      <c r="TC75" s="20"/>
      <c r="TD75" s="20"/>
      <c r="TE75" s="20"/>
      <c r="TF75" s="20"/>
      <c r="TG75" s="20"/>
      <c r="TH75" s="20"/>
      <c r="TI75" s="20"/>
      <c r="TJ75" s="20"/>
      <c r="TK75" s="20"/>
      <c r="TL75" s="20"/>
      <c r="TM75" s="20"/>
      <c r="TN75" s="20"/>
      <c r="TO75" s="20"/>
      <c r="TP75" s="20"/>
      <c r="TQ75" s="20"/>
      <c r="TR75" s="20"/>
      <c r="TS75" s="20"/>
      <c r="TT75" s="20"/>
      <c r="TU75" s="20"/>
      <c r="TV75" s="20"/>
      <c r="TW75" s="20"/>
      <c r="TX75" s="20"/>
      <c r="TY75" s="20"/>
      <c r="TZ75" s="20"/>
      <c r="UA75" s="20"/>
      <c r="UB75" s="20"/>
      <c r="UC75" s="20"/>
      <c r="UD75" s="20"/>
      <c r="UE75" s="20"/>
      <c r="UF75" s="20"/>
      <c r="UG75" s="20"/>
      <c r="UH75" s="20"/>
      <c r="UI75" s="20"/>
      <c r="UJ75" s="20"/>
      <c r="UK75" s="20"/>
      <c r="UL75" s="20"/>
      <c r="UM75" s="20"/>
      <c r="UN75" s="20"/>
      <c r="UO75" s="20"/>
      <c r="UP75" s="20"/>
      <c r="UQ75" s="20"/>
      <c r="UR75" s="20"/>
      <c r="US75" s="20"/>
      <c r="UT75" s="20"/>
      <c r="UU75" s="20"/>
      <c r="UV75" s="20"/>
      <c r="UW75" s="20"/>
      <c r="UX75" s="20"/>
      <c r="UY75" s="20"/>
      <c r="UZ75" s="20"/>
      <c r="VA75" s="20"/>
      <c r="VB75" s="20"/>
      <c r="VC75" s="20"/>
      <c r="VD75" s="20"/>
      <c r="VE75" s="20"/>
      <c r="VF75" s="20"/>
      <c r="VG75" s="20"/>
      <c r="VH75" s="20"/>
      <c r="VI75" s="20"/>
      <c r="VJ75" s="20"/>
      <c r="VK75" s="20"/>
      <c r="VL75" s="20"/>
      <c r="VM75" s="20"/>
      <c r="VN75" s="20"/>
      <c r="VO75" s="20"/>
      <c r="VP75" s="20"/>
      <c r="VQ75" s="20"/>
      <c r="VR75" s="20"/>
      <c r="VS75" s="20"/>
      <c r="VT75" s="20"/>
      <c r="VU75" s="20"/>
      <c r="VV75" s="20"/>
      <c r="VW75" s="20"/>
      <c r="VX75" s="20"/>
      <c r="VY75" s="20"/>
      <c r="VZ75" s="20"/>
      <c r="WA75" s="20"/>
      <c r="WB75" s="20"/>
      <c r="WC75" s="20"/>
      <c r="WD75" s="20"/>
      <c r="WE75" s="20"/>
      <c r="WF75" s="20"/>
      <c r="WG75" s="20"/>
      <c r="WH75" s="20"/>
      <c r="WI75" s="20"/>
      <c r="WJ75" s="20"/>
      <c r="WK75" s="20"/>
      <c r="WL75" s="20"/>
      <c r="WM75" s="20"/>
      <c r="WN75" s="20"/>
      <c r="WO75" s="20"/>
      <c r="WP75" s="20"/>
      <c r="WQ75" s="20"/>
      <c r="WR75" s="20"/>
      <c r="WS75" s="20"/>
      <c r="WT75" s="20"/>
      <c r="WU75" s="20"/>
      <c r="WV75" s="20"/>
      <c r="WW75" s="20"/>
      <c r="WX75" s="20"/>
      <c r="WY75" s="20"/>
      <c r="WZ75" s="20"/>
      <c r="XA75" s="20"/>
      <c r="XB75" s="20"/>
      <c r="XC75" s="20"/>
      <c r="XD75" s="20"/>
      <c r="XE75" s="20"/>
      <c r="XF75" s="20"/>
      <c r="XG75" s="20"/>
      <c r="XH75" s="20"/>
      <c r="XI75" s="20"/>
      <c r="XJ75" s="20"/>
      <c r="XK75" s="20"/>
      <c r="XL75" s="20"/>
      <c r="XM75" s="20"/>
      <c r="XN75" s="20"/>
      <c r="XO75" s="20"/>
      <c r="XP75" s="20"/>
      <c r="XQ75" s="20"/>
      <c r="XR75" s="20"/>
      <c r="XS75" s="20"/>
      <c r="XT75" s="20"/>
      <c r="XU75" s="20"/>
      <c r="XV75" s="20"/>
      <c r="XW75" s="20"/>
      <c r="XX75" s="20"/>
      <c r="XY75" s="20"/>
      <c r="XZ75" s="20"/>
      <c r="YA75" s="20"/>
      <c r="YB75" s="20"/>
      <c r="YC75" s="20"/>
      <c r="YD75" s="20"/>
      <c r="YE75" s="20"/>
      <c r="YF75" s="20"/>
      <c r="YG75" s="20"/>
      <c r="YH75" s="20"/>
      <c r="YI75" s="20"/>
      <c r="YJ75" s="20"/>
      <c r="YK75" s="20"/>
      <c r="YL75" s="20"/>
      <c r="YM75" s="20"/>
      <c r="YN75" s="20"/>
      <c r="YO75" s="20"/>
      <c r="YP75" s="20"/>
      <c r="YQ75" s="20"/>
      <c r="YR75" s="20"/>
      <c r="YS75" s="20"/>
      <c r="YT75" s="20"/>
      <c r="YU75" s="20"/>
      <c r="YV75" s="20"/>
      <c r="YW75" s="20"/>
      <c r="YX75" s="20"/>
      <c r="YY75" s="20"/>
      <c r="YZ75" s="20"/>
      <c r="ZA75" s="20"/>
      <c r="ZB75" s="20"/>
      <c r="ZC75" s="20"/>
      <c r="ZD75" s="20"/>
      <c r="ZE75" s="20"/>
      <c r="ZF75" s="20"/>
      <c r="ZG75" s="20"/>
      <c r="ZH75" s="20"/>
      <c r="ZI75" s="20"/>
      <c r="ZJ75" s="20"/>
      <c r="ZK75" s="20"/>
      <c r="ZL75" s="20"/>
      <c r="ZM75" s="20"/>
      <c r="ZN75" s="20"/>
      <c r="ZO75" s="20"/>
      <c r="ZP75" s="20"/>
      <c r="ZQ75" s="20"/>
      <c r="ZR75" s="20"/>
      <c r="ZS75" s="20"/>
      <c r="ZT75" s="20"/>
      <c r="ZU75" s="20"/>
      <c r="ZV75" s="20"/>
      <c r="ZW75" s="20"/>
      <c r="ZX75" s="20"/>
      <c r="ZY75" s="20"/>
      <c r="ZZ75" s="20"/>
      <c r="AAA75" s="20"/>
      <c r="AAB75" s="20"/>
      <c r="AAC75" s="20"/>
      <c r="AAD75" s="20"/>
      <c r="AAE75" s="20"/>
      <c r="AAF75" s="20"/>
      <c r="AAG75" s="20"/>
      <c r="AAH75" s="20"/>
      <c r="AAI75" s="20"/>
      <c r="AAJ75" s="20"/>
      <c r="AAK75" s="20"/>
      <c r="AAL75" s="20"/>
      <c r="AAM75" s="20"/>
      <c r="AAN75" s="20"/>
      <c r="AAO75" s="20"/>
      <c r="AAP75" s="20"/>
      <c r="AAQ75" s="20"/>
      <c r="AAR75" s="20"/>
      <c r="AAS75" s="20"/>
      <c r="AAT75" s="20"/>
      <c r="AAU75" s="20"/>
      <c r="AAV75" s="20"/>
      <c r="AAW75" s="20"/>
      <c r="AAX75" s="20"/>
      <c r="AAY75" s="20"/>
      <c r="AAZ75" s="20"/>
      <c r="ABA75" s="20"/>
      <c r="ABB75" s="20"/>
      <c r="ABC75" s="20"/>
      <c r="ABD75" s="20"/>
      <c r="ABE75" s="20"/>
      <c r="ABF75" s="20"/>
      <c r="ABG75" s="20"/>
      <c r="ABH75" s="20"/>
      <c r="ABI75" s="20"/>
      <c r="ABJ75" s="20"/>
      <c r="ABK75" s="20"/>
      <c r="ABL75" s="20"/>
      <c r="ABM75" s="20"/>
      <c r="ABN75" s="20"/>
      <c r="ABO75" s="20"/>
      <c r="ABP75" s="20"/>
      <c r="ABQ75" s="20"/>
      <c r="ABR75" s="20"/>
      <c r="ABS75" s="20"/>
      <c r="ABT75" s="20"/>
      <c r="ABU75" s="20"/>
      <c r="ABV75" s="20"/>
      <c r="ABW75" s="20"/>
      <c r="ABX75" s="20"/>
      <c r="ABY75" s="20"/>
      <c r="ABZ75" s="20"/>
      <c r="ACA75" s="20"/>
      <c r="ACB75" s="20"/>
      <c r="ACC75" s="20"/>
      <c r="ACD75" s="20"/>
      <c r="ACE75" s="20"/>
      <c r="ACF75" s="20"/>
      <c r="ACG75" s="20"/>
      <c r="ACH75" s="20"/>
      <c r="ACI75" s="20"/>
      <c r="ACJ75" s="20"/>
      <c r="ACK75" s="20"/>
      <c r="ACL75" s="20"/>
      <c r="ACM75" s="20"/>
      <c r="ACN75" s="20"/>
      <c r="ACO75" s="20"/>
      <c r="ACP75" s="20"/>
      <c r="ACQ75" s="20"/>
    </row>
    <row r="76" spans="1:771" s="62" customFormat="1" ht="84.95">
      <c r="A76" s="57"/>
      <c r="B76" s="61" t="s">
        <v>361</v>
      </c>
      <c r="D76" s="61" t="s">
        <v>362</v>
      </c>
      <c r="F76" s="63" t="s">
        <v>363</v>
      </c>
      <c r="H76" s="61" t="s">
        <v>116</v>
      </c>
      <c r="J76" s="61" t="s">
        <v>365</v>
      </c>
      <c r="L76" s="61" t="s">
        <v>74</v>
      </c>
      <c r="N76" s="61" t="s">
        <v>103</v>
      </c>
      <c r="P76" s="61" t="s">
        <v>366</v>
      </c>
      <c r="R76" s="63" t="s">
        <v>77</v>
      </c>
      <c r="T76" s="65" t="s">
        <v>367</v>
      </c>
      <c r="U76" s="66"/>
      <c r="V76" s="67" t="s">
        <v>79</v>
      </c>
      <c r="W76" s="68"/>
      <c r="X76" s="67" t="s">
        <v>80</v>
      </c>
      <c r="Y76" s="68"/>
      <c r="Z76" s="67" t="s">
        <v>80</v>
      </c>
      <c r="AA76" s="68"/>
      <c r="AB76" s="67" t="s">
        <v>80</v>
      </c>
      <c r="AD76" s="63" t="s">
        <v>368</v>
      </c>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c r="JC76" s="20"/>
      <c r="JD76" s="20"/>
      <c r="JE76" s="20"/>
      <c r="JF76" s="20"/>
      <c r="JG76" s="20"/>
      <c r="JH76" s="20"/>
      <c r="JI76" s="20"/>
      <c r="JJ76" s="20"/>
      <c r="JK76" s="20"/>
      <c r="JL76" s="20"/>
      <c r="JM76" s="20"/>
      <c r="JN76" s="20"/>
      <c r="JO76" s="20"/>
      <c r="JP76" s="20"/>
      <c r="JQ76" s="20"/>
      <c r="JR76" s="20"/>
      <c r="JS76" s="20"/>
      <c r="JT76" s="20"/>
      <c r="JU76" s="20"/>
      <c r="JV76" s="20"/>
      <c r="JW76" s="20"/>
      <c r="JX76" s="20"/>
      <c r="JY76" s="20"/>
      <c r="JZ76" s="20"/>
      <c r="KA76" s="20"/>
      <c r="KB76" s="20"/>
      <c r="KC76" s="20"/>
      <c r="KD76" s="20"/>
      <c r="KE76" s="20"/>
      <c r="KF76" s="20"/>
      <c r="KG76" s="20"/>
      <c r="KH76" s="20"/>
      <c r="KI76" s="20"/>
      <c r="KJ76" s="20"/>
      <c r="KK76" s="20"/>
      <c r="KL76" s="20"/>
      <c r="KM76" s="20"/>
      <c r="KN76" s="20"/>
      <c r="KO76" s="20"/>
      <c r="KP76" s="20"/>
      <c r="KQ76" s="20"/>
      <c r="KR76" s="20"/>
      <c r="KS76" s="20"/>
      <c r="KT76" s="20"/>
      <c r="KU76" s="20"/>
      <c r="KV76" s="20"/>
      <c r="KW76" s="20"/>
      <c r="KX76" s="20"/>
      <c r="KY76" s="20"/>
      <c r="KZ76" s="20"/>
      <c r="LA76" s="20"/>
      <c r="LB76" s="20"/>
      <c r="LC76" s="20"/>
      <c r="LD76" s="20"/>
      <c r="LE76" s="20"/>
      <c r="LF76" s="20"/>
      <c r="LG76" s="20"/>
      <c r="LH76" s="20"/>
      <c r="LI76" s="20"/>
      <c r="LJ76" s="20"/>
      <c r="LK76" s="20"/>
      <c r="LL76" s="20"/>
      <c r="LM76" s="20"/>
      <c r="LN76" s="20"/>
      <c r="LO76" s="20"/>
      <c r="LP76" s="20"/>
      <c r="LQ76" s="20"/>
      <c r="LR76" s="20"/>
      <c r="LS76" s="20"/>
      <c r="LT76" s="20"/>
      <c r="LU76" s="20"/>
      <c r="LV76" s="20"/>
      <c r="LW76" s="20"/>
      <c r="LX76" s="20"/>
      <c r="LY76" s="20"/>
      <c r="LZ76" s="20"/>
      <c r="MA76" s="20"/>
      <c r="MB76" s="20"/>
      <c r="MC76" s="20"/>
      <c r="MD76" s="20"/>
      <c r="ME76" s="20"/>
      <c r="MF76" s="20"/>
      <c r="MG76" s="20"/>
      <c r="MH76" s="20"/>
      <c r="MI76" s="20"/>
      <c r="MJ76" s="20"/>
      <c r="MK76" s="20"/>
      <c r="ML76" s="20"/>
      <c r="MM76" s="20"/>
      <c r="MN76" s="20"/>
      <c r="MO76" s="20"/>
      <c r="MP76" s="20"/>
      <c r="MQ76" s="20"/>
      <c r="MR76" s="20"/>
      <c r="MS76" s="20"/>
      <c r="MT76" s="20"/>
      <c r="MU76" s="20"/>
      <c r="MV76" s="20"/>
      <c r="MW76" s="20"/>
      <c r="MX76" s="20"/>
      <c r="MY76" s="20"/>
      <c r="MZ76" s="20"/>
      <c r="NA76" s="20"/>
      <c r="NB76" s="20"/>
      <c r="NC76" s="20"/>
      <c r="ND76" s="20"/>
      <c r="NE76" s="20"/>
      <c r="NF76" s="20"/>
      <c r="NG76" s="20"/>
      <c r="NH76" s="20"/>
      <c r="NI76" s="20"/>
      <c r="NJ76" s="20"/>
      <c r="NK76" s="20"/>
      <c r="NL76" s="20"/>
      <c r="NM76" s="20"/>
      <c r="NN76" s="20"/>
      <c r="NO76" s="20"/>
      <c r="NP76" s="20"/>
      <c r="NQ76" s="20"/>
      <c r="NR76" s="20"/>
      <c r="NS76" s="20"/>
      <c r="NT76" s="20"/>
      <c r="NU76" s="20"/>
      <c r="NV76" s="20"/>
      <c r="NW76" s="20"/>
      <c r="NX76" s="20"/>
      <c r="NY76" s="20"/>
      <c r="NZ76" s="20"/>
      <c r="OA76" s="20"/>
      <c r="OB76" s="20"/>
      <c r="OC76" s="20"/>
      <c r="OD76" s="20"/>
      <c r="OE76" s="20"/>
      <c r="OF76" s="20"/>
      <c r="OG76" s="20"/>
      <c r="OH76" s="20"/>
      <c r="OI76" s="20"/>
      <c r="OJ76" s="20"/>
      <c r="OK76" s="20"/>
      <c r="OL76" s="20"/>
      <c r="OM76" s="20"/>
      <c r="ON76" s="20"/>
      <c r="OO76" s="20"/>
      <c r="OP76" s="20"/>
      <c r="OQ76" s="20"/>
      <c r="OR76" s="20"/>
      <c r="OS76" s="20"/>
      <c r="OT76" s="20"/>
      <c r="OU76" s="20"/>
      <c r="OV76" s="20"/>
      <c r="OW76" s="20"/>
      <c r="OX76" s="20"/>
      <c r="OY76" s="20"/>
      <c r="OZ76" s="20"/>
      <c r="PA76" s="20"/>
      <c r="PB76" s="20"/>
      <c r="PC76" s="20"/>
      <c r="PD76" s="20"/>
      <c r="PE76" s="20"/>
      <c r="PF76" s="20"/>
      <c r="PG76" s="20"/>
      <c r="PH76" s="20"/>
      <c r="PI76" s="20"/>
      <c r="PJ76" s="20"/>
      <c r="PK76" s="20"/>
      <c r="PL76" s="20"/>
      <c r="PM76" s="20"/>
      <c r="PN76" s="20"/>
      <c r="PO76" s="20"/>
      <c r="PP76" s="20"/>
      <c r="PQ76" s="20"/>
      <c r="PR76" s="20"/>
      <c r="PS76" s="20"/>
      <c r="PT76" s="20"/>
      <c r="PU76" s="20"/>
      <c r="PV76" s="20"/>
      <c r="PW76" s="20"/>
      <c r="PX76" s="20"/>
      <c r="PY76" s="20"/>
      <c r="PZ76" s="20"/>
      <c r="QA76" s="20"/>
      <c r="QB76" s="20"/>
      <c r="QC76" s="20"/>
      <c r="QD76" s="20"/>
      <c r="QE76" s="20"/>
      <c r="QF76" s="20"/>
      <c r="QG76" s="20"/>
      <c r="QH76" s="20"/>
      <c r="QI76" s="20"/>
      <c r="QJ76" s="20"/>
      <c r="QK76" s="20"/>
      <c r="QL76" s="20"/>
      <c r="QM76" s="20"/>
      <c r="QN76" s="20"/>
      <c r="QO76" s="20"/>
      <c r="QP76" s="20"/>
      <c r="QQ76" s="20"/>
      <c r="QR76" s="20"/>
      <c r="QS76" s="20"/>
      <c r="QT76" s="20"/>
      <c r="QU76" s="20"/>
      <c r="QV76" s="20"/>
      <c r="QW76" s="20"/>
      <c r="QX76" s="20"/>
      <c r="QY76" s="20"/>
      <c r="QZ76" s="20"/>
      <c r="RA76" s="20"/>
      <c r="RB76" s="20"/>
      <c r="RC76" s="20"/>
      <c r="RD76" s="20"/>
      <c r="RE76" s="20"/>
      <c r="RF76" s="20"/>
      <c r="RG76" s="20"/>
      <c r="RH76" s="20"/>
      <c r="RI76" s="20"/>
      <c r="RJ76" s="20"/>
      <c r="RK76" s="20"/>
      <c r="RL76" s="20"/>
      <c r="RM76" s="20"/>
      <c r="RN76" s="20"/>
      <c r="RO76" s="20"/>
      <c r="RP76" s="20"/>
      <c r="RQ76" s="20"/>
      <c r="RR76" s="20"/>
      <c r="RS76" s="20"/>
      <c r="RT76" s="20"/>
      <c r="RU76" s="20"/>
      <c r="RV76" s="20"/>
      <c r="RW76" s="20"/>
      <c r="RX76" s="20"/>
      <c r="RY76" s="20"/>
      <c r="RZ76" s="20"/>
      <c r="SA76" s="20"/>
      <c r="SB76" s="20"/>
      <c r="SC76" s="20"/>
      <c r="SD76" s="20"/>
      <c r="SE76" s="20"/>
      <c r="SF76" s="20"/>
      <c r="SG76" s="20"/>
      <c r="SH76" s="20"/>
      <c r="SI76" s="20"/>
      <c r="SJ76" s="20"/>
      <c r="SK76" s="20"/>
      <c r="SL76" s="20"/>
      <c r="SM76" s="20"/>
      <c r="SN76" s="20"/>
      <c r="SO76" s="20"/>
      <c r="SP76" s="20"/>
      <c r="SQ76" s="20"/>
      <c r="SR76" s="20"/>
      <c r="SS76" s="20"/>
      <c r="ST76" s="20"/>
      <c r="SU76" s="20"/>
      <c r="SV76" s="20"/>
      <c r="SW76" s="20"/>
      <c r="SX76" s="20"/>
      <c r="SY76" s="20"/>
      <c r="SZ76" s="20"/>
      <c r="TA76" s="20"/>
      <c r="TB76" s="20"/>
      <c r="TC76" s="20"/>
      <c r="TD76" s="20"/>
      <c r="TE76" s="20"/>
      <c r="TF76" s="20"/>
      <c r="TG76" s="20"/>
      <c r="TH76" s="20"/>
      <c r="TI76" s="20"/>
      <c r="TJ76" s="20"/>
      <c r="TK76" s="20"/>
      <c r="TL76" s="20"/>
      <c r="TM76" s="20"/>
      <c r="TN76" s="20"/>
      <c r="TO76" s="20"/>
      <c r="TP76" s="20"/>
      <c r="TQ76" s="20"/>
      <c r="TR76" s="20"/>
      <c r="TS76" s="20"/>
      <c r="TT76" s="20"/>
      <c r="TU76" s="20"/>
      <c r="TV76" s="20"/>
      <c r="TW76" s="20"/>
      <c r="TX76" s="20"/>
      <c r="TY76" s="20"/>
      <c r="TZ76" s="20"/>
      <c r="UA76" s="20"/>
      <c r="UB76" s="20"/>
      <c r="UC76" s="20"/>
      <c r="UD76" s="20"/>
      <c r="UE76" s="20"/>
      <c r="UF76" s="20"/>
      <c r="UG76" s="20"/>
      <c r="UH76" s="20"/>
      <c r="UI76" s="20"/>
      <c r="UJ76" s="20"/>
      <c r="UK76" s="20"/>
      <c r="UL76" s="20"/>
      <c r="UM76" s="20"/>
      <c r="UN76" s="20"/>
      <c r="UO76" s="20"/>
      <c r="UP76" s="20"/>
      <c r="UQ76" s="20"/>
      <c r="UR76" s="20"/>
      <c r="US76" s="20"/>
      <c r="UT76" s="20"/>
      <c r="UU76" s="20"/>
      <c r="UV76" s="20"/>
      <c r="UW76" s="20"/>
      <c r="UX76" s="20"/>
      <c r="UY76" s="20"/>
      <c r="UZ76" s="20"/>
      <c r="VA76" s="20"/>
      <c r="VB76" s="20"/>
      <c r="VC76" s="20"/>
      <c r="VD76" s="20"/>
      <c r="VE76" s="20"/>
      <c r="VF76" s="20"/>
      <c r="VG76" s="20"/>
      <c r="VH76" s="20"/>
      <c r="VI76" s="20"/>
      <c r="VJ76" s="20"/>
      <c r="VK76" s="20"/>
      <c r="VL76" s="20"/>
      <c r="VM76" s="20"/>
      <c r="VN76" s="20"/>
      <c r="VO76" s="20"/>
      <c r="VP76" s="20"/>
      <c r="VQ76" s="20"/>
      <c r="VR76" s="20"/>
      <c r="VS76" s="20"/>
      <c r="VT76" s="20"/>
      <c r="VU76" s="20"/>
      <c r="VV76" s="20"/>
      <c r="VW76" s="20"/>
      <c r="VX76" s="20"/>
      <c r="VY76" s="20"/>
      <c r="VZ76" s="20"/>
      <c r="WA76" s="20"/>
      <c r="WB76" s="20"/>
      <c r="WC76" s="20"/>
      <c r="WD76" s="20"/>
      <c r="WE76" s="20"/>
      <c r="WF76" s="20"/>
      <c r="WG76" s="20"/>
      <c r="WH76" s="20"/>
      <c r="WI76" s="20"/>
      <c r="WJ76" s="20"/>
      <c r="WK76" s="20"/>
      <c r="WL76" s="20"/>
      <c r="WM76" s="20"/>
      <c r="WN76" s="20"/>
      <c r="WO76" s="20"/>
      <c r="WP76" s="20"/>
      <c r="WQ76" s="20"/>
      <c r="WR76" s="20"/>
      <c r="WS76" s="20"/>
      <c r="WT76" s="20"/>
      <c r="WU76" s="20"/>
      <c r="WV76" s="20"/>
      <c r="WW76" s="20"/>
      <c r="WX76" s="20"/>
      <c r="WY76" s="20"/>
      <c r="WZ76" s="20"/>
      <c r="XA76" s="20"/>
      <c r="XB76" s="20"/>
      <c r="XC76" s="20"/>
      <c r="XD76" s="20"/>
      <c r="XE76" s="20"/>
      <c r="XF76" s="20"/>
      <c r="XG76" s="20"/>
      <c r="XH76" s="20"/>
      <c r="XI76" s="20"/>
      <c r="XJ76" s="20"/>
      <c r="XK76" s="20"/>
      <c r="XL76" s="20"/>
      <c r="XM76" s="20"/>
      <c r="XN76" s="20"/>
      <c r="XO76" s="20"/>
      <c r="XP76" s="20"/>
      <c r="XQ76" s="20"/>
      <c r="XR76" s="20"/>
      <c r="XS76" s="20"/>
      <c r="XT76" s="20"/>
      <c r="XU76" s="20"/>
      <c r="XV76" s="20"/>
      <c r="XW76" s="20"/>
      <c r="XX76" s="20"/>
      <c r="XY76" s="20"/>
      <c r="XZ76" s="20"/>
      <c r="YA76" s="20"/>
      <c r="YB76" s="20"/>
      <c r="YC76" s="20"/>
      <c r="YD76" s="20"/>
      <c r="YE76" s="20"/>
      <c r="YF76" s="20"/>
      <c r="YG76" s="20"/>
      <c r="YH76" s="20"/>
      <c r="YI76" s="20"/>
      <c r="YJ76" s="20"/>
      <c r="YK76" s="20"/>
      <c r="YL76" s="20"/>
      <c r="YM76" s="20"/>
      <c r="YN76" s="20"/>
      <c r="YO76" s="20"/>
      <c r="YP76" s="20"/>
      <c r="YQ76" s="20"/>
      <c r="YR76" s="20"/>
      <c r="YS76" s="20"/>
      <c r="YT76" s="20"/>
      <c r="YU76" s="20"/>
      <c r="YV76" s="20"/>
      <c r="YW76" s="20"/>
      <c r="YX76" s="20"/>
      <c r="YY76" s="20"/>
      <c r="YZ76" s="20"/>
      <c r="ZA76" s="20"/>
      <c r="ZB76" s="20"/>
      <c r="ZC76" s="20"/>
      <c r="ZD76" s="20"/>
      <c r="ZE76" s="20"/>
      <c r="ZF76" s="20"/>
      <c r="ZG76" s="20"/>
      <c r="ZH76" s="20"/>
      <c r="ZI76" s="20"/>
      <c r="ZJ76" s="20"/>
      <c r="ZK76" s="20"/>
      <c r="ZL76" s="20"/>
      <c r="ZM76" s="20"/>
      <c r="ZN76" s="20"/>
      <c r="ZO76" s="20"/>
      <c r="ZP76" s="20"/>
      <c r="ZQ76" s="20"/>
      <c r="ZR76" s="20"/>
      <c r="ZS76" s="20"/>
      <c r="ZT76" s="20"/>
      <c r="ZU76" s="20"/>
      <c r="ZV76" s="20"/>
      <c r="ZW76" s="20"/>
      <c r="ZX76" s="20"/>
      <c r="ZY76" s="20"/>
      <c r="ZZ76" s="20"/>
      <c r="AAA76" s="20"/>
      <c r="AAB76" s="20"/>
      <c r="AAC76" s="20"/>
      <c r="AAD76" s="20"/>
      <c r="AAE76" s="20"/>
      <c r="AAF76" s="20"/>
      <c r="AAG76" s="20"/>
      <c r="AAH76" s="20"/>
      <c r="AAI76" s="20"/>
      <c r="AAJ76" s="20"/>
      <c r="AAK76" s="20"/>
      <c r="AAL76" s="20"/>
      <c r="AAM76" s="20"/>
      <c r="AAN76" s="20"/>
      <c r="AAO76" s="20"/>
      <c r="AAP76" s="20"/>
      <c r="AAQ76" s="20"/>
      <c r="AAR76" s="20"/>
      <c r="AAS76" s="20"/>
      <c r="AAT76" s="20"/>
      <c r="AAU76" s="20"/>
      <c r="AAV76" s="20"/>
      <c r="AAW76" s="20"/>
      <c r="AAX76" s="20"/>
      <c r="AAY76" s="20"/>
      <c r="AAZ76" s="20"/>
      <c r="ABA76" s="20"/>
      <c r="ABB76" s="20"/>
      <c r="ABC76" s="20"/>
      <c r="ABD76" s="20"/>
      <c r="ABE76" s="20"/>
      <c r="ABF76" s="20"/>
      <c r="ABG76" s="20"/>
      <c r="ABH76" s="20"/>
      <c r="ABI76" s="20"/>
      <c r="ABJ76" s="20"/>
      <c r="ABK76" s="20"/>
      <c r="ABL76" s="20"/>
      <c r="ABM76" s="20"/>
      <c r="ABN76" s="20"/>
      <c r="ABO76" s="20"/>
      <c r="ABP76" s="20"/>
      <c r="ABQ76" s="20"/>
      <c r="ABR76" s="20"/>
      <c r="ABS76" s="20"/>
      <c r="ABT76" s="20"/>
      <c r="ABU76" s="20"/>
      <c r="ABV76" s="20"/>
      <c r="ABW76" s="20"/>
      <c r="ABX76" s="20"/>
      <c r="ABY76" s="20"/>
      <c r="ABZ76" s="20"/>
      <c r="ACA76" s="20"/>
      <c r="ACB76" s="20"/>
      <c r="ACC76" s="20"/>
      <c r="ACD76" s="20"/>
      <c r="ACE76" s="20"/>
      <c r="ACF76" s="20"/>
      <c r="ACG76" s="20"/>
      <c r="ACH76" s="20"/>
      <c r="ACI76" s="20"/>
      <c r="ACJ76" s="20"/>
      <c r="ACK76" s="20"/>
      <c r="ACL76" s="20"/>
      <c r="ACM76" s="20"/>
      <c r="ACN76" s="20"/>
      <c r="ACO76" s="20"/>
      <c r="ACP76" s="20"/>
      <c r="ACQ76" s="20"/>
    </row>
    <row r="77" spans="1:771" s="62" customFormat="1" ht="84.95">
      <c r="A77" s="57"/>
      <c r="B77" s="61" t="s">
        <v>361</v>
      </c>
      <c r="D77" s="61" t="s">
        <v>362</v>
      </c>
      <c r="F77" s="63" t="s">
        <v>363</v>
      </c>
      <c r="H77" s="61" t="s">
        <v>124</v>
      </c>
      <c r="J77" s="61" t="s">
        <v>365</v>
      </c>
      <c r="L77" s="61" t="s">
        <v>74</v>
      </c>
      <c r="N77" s="61" t="s">
        <v>103</v>
      </c>
      <c r="P77" s="61" t="s">
        <v>366</v>
      </c>
      <c r="R77" s="63" t="s">
        <v>77</v>
      </c>
      <c r="T77" s="65" t="s">
        <v>367</v>
      </c>
      <c r="U77" s="66"/>
      <c r="V77" s="67" t="s">
        <v>79</v>
      </c>
      <c r="W77" s="68"/>
      <c r="X77" s="67" t="s">
        <v>80</v>
      </c>
      <c r="Y77" s="68"/>
      <c r="Z77" s="67" t="s">
        <v>80</v>
      </c>
      <c r="AA77" s="68"/>
      <c r="AB77" s="67" t="s">
        <v>80</v>
      </c>
      <c r="AD77" s="63" t="s">
        <v>368</v>
      </c>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c r="JC77" s="20"/>
      <c r="JD77" s="20"/>
      <c r="JE77" s="20"/>
      <c r="JF77" s="20"/>
      <c r="JG77" s="20"/>
      <c r="JH77" s="20"/>
      <c r="JI77" s="20"/>
      <c r="JJ77" s="20"/>
      <c r="JK77" s="20"/>
      <c r="JL77" s="20"/>
      <c r="JM77" s="20"/>
      <c r="JN77" s="20"/>
      <c r="JO77" s="20"/>
      <c r="JP77" s="20"/>
      <c r="JQ77" s="20"/>
      <c r="JR77" s="20"/>
      <c r="JS77" s="20"/>
      <c r="JT77" s="20"/>
      <c r="JU77" s="20"/>
      <c r="JV77" s="20"/>
      <c r="JW77" s="20"/>
      <c r="JX77" s="20"/>
      <c r="JY77" s="20"/>
      <c r="JZ77" s="20"/>
      <c r="KA77" s="20"/>
      <c r="KB77" s="20"/>
      <c r="KC77" s="20"/>
      <c r="KD77" s="20"/>
      <c r="KE77" s="20"/>
      <c r="KF77" s="20"/>
      <c r="KG77" s="20"/>
      <c r="KH77" s="20"/>
      <c r="KI77" s="20"/>
      <c r="KJ77" s="20"/>
      <c r="KK77" s="20"/>
      <c r="KL77" s="20"/>
      <c r="KM77" s="20"/>
      <c r="KN77" s="20"/>
      <c r="KO77" s="20"/>
      <c r="KP77" s="20"/>
      <c r="KQ77" s="20"/>
      <c r="KR77" s="20"/>
      <c r="KS77" s="20"/>
      <c r="KT77" s="20"/>
      <c r="KU77" s="20"/>
      <c r="KV77" s="20"/>
      <c r="KW77" s="20"/>
      <c r="KX77" s="20"/>
      <c r="KY77" s="20"/>
      <c r="KZ77" s="20"/>
      <c r="LA77" s="20"/>
      <c r="LB77" s="20"/>
      <c r="LC77" s="20"/>
      <c r="LD77" s="20"/>
      <c r="LE77" s="20"/>
      <c r="LF77" s="20"/>
      <c r="LG77" s="20"/>
      <c r="LH77" s="20"/>
      <c r="LI77" s="20"/>
      <c r="LJ77" s="20"/>
      <c r="LK77" s="20"/>
      <c r="LL77" s="20"/>
      <c r="LM77" s="20"/>
      <c r="LN77" s="20"/>
      <c r="LO77" s="20"/>
      <c r="LP77" s="20"/>
      <c r="LQ77" s="20"/>
      <c r="LR77" s="20"/>
      <c r="LS77" s="20"/>
      <c r="LT77" s="20"/>
      <c r="LU77" s="20"/>
      <c r="LV77" s="20"/>
      <c r="LW77" s="20"/>
      <c r="LX77" s="20"/>
      <c r="LY77" s="20"/>
      <c r="LZ77" s="20"/>
      <c r="MA77" s="20"/>
      <c r="MB77" s="20"/>
      <c r="MC77" s="20"/>
      <c r="MD77" s="20"/>
      <c r="ME77" s="20"/>
      <c r="MF77" s="20"/>
      <c r="MG77" s="20"/>
      <c r="MH77" s="20"/>
      <c r="MI77" s="20"/>
      <c r="MJ77" s="20"/>
      <c r="MK77" s="20"/>
      <c r="ML77" s="20"/>
      <c r="MM77" s="20"/>
      <c r="MN77" s="20"/>
      <c r="MO77" s="20"/>
      <c r="MP77" s="20"/>
      <c r="MQ77" s="20"/>
      <c r="MR77" s="20"/>
      <c r="MS77" s="20"/>
      <c r="MT77" s="20"/>
      <c r="MU77" s="20"/>
      <c r="MV77" s="20"/>
      <c r="MW77" s="20"/>
      <c r="MX77" s="20"/>
      <c r="MY77" s="20"/>
      <c r="MZ77" s="20"/>
      <c r="NA77" s="20"/>
      <c r="NB77" s="20"/>
      <c r="NC77" s="20"/>
      <c r="ND77" s="20"/>
      <c r="NE77" s="20"/>
      <c r="NF77" s="20"/>
      <c r="NG77" s="20"/>
      <c r="NH77" s="20"/>
      <c r="NI77" s="20"/>
      <c r="NJ77" s="20"/>
      <c r="NK77" s="20"/>
      <c r="NL77" s="20"/>
      <c r="NM77" s="20"/>
      <c r="NN77" s="20"/>
      <c r="NO77" s="20"/>
      <c r="NP77" s="20"/>
      <c r="NQ77" s="20"/>
      <c r="NR77" s="20"/>
      <c r="NS77" s="20"/>
      <c r="NT77" s="20"/>
      <c r="NU77" s="20"/>
      <c r="NV77" s="20"/>
      <c r="NW77" s="20"/>
      <c r="NX77" s="20"/>
      <c r="NY77" s="20"/>
      <c r="NZ77" s="20"/>
      <c r="OA77" s="20"/>
      <c r="OB77" s="20"/>
      <c r="OC77" s="20"/>
      <c r="OD77" s="20"/>
      <c r="OE77" s="20"/>
      <c r="OF77" s="20"/>
      <c r="OG77" s="20"/>
      <c r="OH77" s="20"/>
      <c r="OI77" s="20"/>
      <c r="OJ77" s="20"/>
      <c r="OK77" s="20"/>
      <c r="OL77" s="20"/>
      <c r="OM77" s="20"/>
      <c r="ON77" s="20"/>
      <c r="OO77" s="20"/>
      <c r="OP77" s="20"/>
      <c r="OQ77" s="20"/>
      <c r="OR77" s="20"/>
      <c r="OS77" s="20"/>
      <c r="OT77" s="20"/>
      <c r="OU77" s="20"/>
      <c r="OV77" s="20"/>
      <c r="OW77" s="20"/>
      <c r="OX77" s="20"/>
      <c r="OY77" s="20"/>
      <c r="OZ77" s="20"/>
      <c r="PA77" s="20"/>
      <c r="PB77" s="20"/>
      <c r="PC77" s="20"/>
      <c r="PD77" s="20"/>
      <c r="PE77" s="20"/>
      <c r="PF77" s="20"/>
      <c r="PG77" s="20"/>
      <c r="PH77" s="20"/>
      <c r="PI77" s="20"/>
      <c r="PJ77" s="20"/>
      <c r="PK77" s="20"/>
      <c r="PL77" s="20"/>
      <c r="PM77" s="20"/>
      <c r="PN77" s="20"/>
      <c r="PO77" s="20"/>
      <c r="PP77" s="20"/>
      <c r="PQ77" s="20"/>
      <c r="PR77" s="20"/>
      <c r="PS77" s="20"/>
      <c r="PT77" s="20"/>
      <c r="PU77" s="20"/>
      <c r="PV77" s="20"/>
      <c r="PW77" s="20"/>
      <c r="PX77" s="20"/>
      <c r="PY77" s="20"/>
      <c r="PZ77" s="20"/>
      <c r="QA77" s="20"/>
      <c r="QB77" s="20"/>
      <c r="QC77" s="20"/>
      <c r="QD77" s="20"/>
      <c r="QE77" s="20"/>
      <c r="QF77" s="20"/>
      <c r="QG77" s="20"/>
      <c r="QH77" s="20"/>
      <c r="QI77" s="20"/>
      <c r="QJ77" s="20"/>
      <c r="QK77" s="20"/>
      <c r="QL77" s="20"/>
      <c r="QM77" s="20"/>
      <c r="QN77" s="20"/>
      <c r="QO77" s="20"/>
      <c r="QP77" s="20"/>
      <c r="QQ77" s="20"/>
      <c r="QR77" s="20"/>
      <c r="QS77" s="20"/>
      <c r="QT77" s="20"/>
      <c r="QU77" s="20"/>
      <c r="QV77" s="20"/>
      <c r="QW77" s="20"/>
      <c r="QX77" s="20"/>
      <c r="QY77" s="20"/>
      <c r="QZ77" s="20"/>
      <c r="RA77" s="20"/>
      <c r="RB77" s="20"/>
      <c r="RC77" s="20"/>
      <c r="RD77" s="20"/>
      <c r="RE77" s="20"/>
      <c r="RF77" s="20"/>
      <c r="RG77" s="20"/>
      <c r="RH77" s="20"/>
      <c r="RI77" s="20"/>
      <c r="RJ77" s="20"/>
      <c r="RK77" s="20"/>
      <c r="RL77" s="20"/>
      <c r="RM77" s="20"/>
      <c r="RN77" s="20"/>
      <c r="RO77" s="20"/>
      <c r="RP77" s="20"/>
      <c r="RQ77" s="20"/>
      <c r="RR77" s="20"/>
      <c r="RS77" s="20"/>
      <c r="RT77" s="20"/>
      <c r="RU77" s="20"/>
      <c r="RV77" s="20"/>
      <c r="RW77" s="20"/>
      <c r="RX77" s="20"/>
      <c r="RY77" s="20"/>
      <c r="RZ77" s="20"/>
      <c r="SA77" s="20"/>
      <c r="SB77" s="20"/>
      <c r="SC77" s="20"/>
      <c r="SD77" s="20"/>
      <c r="SE77" s="20"/>
      <c r="SF77" s="20"/>
      <c r="SG77" s="20"/>
      <c r="SH77" s="20"/>
      <c r="SI77" s="20"/>
      <c r="SJ77" s="20"/>
      <c r="SK77" s="20"/>
      <c r="SL77" s="20"/>
      <c r="SM77" s="20"/>
      <c r="SN77" s="20"/>
      <c r="SO77" s="20"/>
      <c r="SP77" s="20"/>
      <c r="SQ77" s="20"/>
      <c r="SR77" s="20"/>
      <c r="SS77" s="20"/>
      <c r="ST77" s="20"/>
      <c r="SU77" s="20"/>
      <c r="SV77" s="20"/>
      <c r="SW77" s="20"/>
      <c r="SX77" s="20"/>
      <c r="SY77" s="20"/>
      <c r="SZ77" s="20"/>
      <c r="TA77" s="20"/>
      <c r="TB77" s="20"/>
      <c r="TC77" s="20"/>
      <c r="TD77" s="20"/>
      <c r="TE77" s="20"/>
      <c r="TF77" s="20"/>
      <c r="TG77" s="20"/>
      <c r="TH77" s="20"/>
      <c r="TI77" s="20"/>
      <c r="TJ77" s="20"/>
      <c r="TK77" s="20"/>
      <c r="TL77" s="20"/>
      <c r="TM77" s="20"/>
      <c r="TN77" s="20"/>
      <c r="TO77" s="20"/>
      <c r="TP77" s="20"/>
      <c r="TQ77" s="20"/>
      <c r="TR77" s="20"/>
      <c r="TS77" s="20"/>
      <c r="TT77" s="20"/>
      <c r="TU77" s="20"/>
      <c r="TV77" s="20"/>
      <c r="TW77" s="20"/>
      <c r="TX77" s="20"/>
      <c r="TY77" s="20"/>
      <c r="TZ77" s="20"/>
      <c r="UA77" s="20"/>
      <c r="UB77" s="20"/>
      <c r="UC77" s="20"/>
      <c r="UD77" s="20"/>
      <c r="UE77" s="20"/>
      <c r="UF77" s="20"/>
      <c r="UG77" s="20"/>
      <c r="UH77" s="20"/>
      <c r="UI77" s="20"/>
      <c r="UJ77" s="20"/>
      <c r="UK77" s="20"/>
      <c r="UL77" s="20"/>
      <c r="UM77" s="20"/>
      <c r="UN77" s="20"/>
      <c r="UO77" s="20"/>
      <c r="UP77" s="20"/>
      <c r="UQ77" s="20"/>
      <c r="UR77" s="20"/>
      <c r="US77" s="20"/>
      <c r="UT77" s="20"/>
      <c r="UU77" s="20"/>
      <c r="UV77" s="20"/>
      <c r="UW77" s="20"/>
      <c r="UX77" s="20"/>
      <c r="UY77" s="20"/>
      <c r="UZ77" s="20"/>
      <c r="VA77" s="20"/>
      <c r="VB77" s="20"/>
      <c r="VC77" s="20"/>
      <c r="VD77" s="20"/>
      <c r="VE77" s="20"/>
      <c r="VF77" s="20"/>
      <c r="VG77" s="20"/>
      <c r="VH77" s="20"/>
      <c r="VI77" s="20"/>
      <c r="VJ77" s="20"/>
      <c r="VK77" s="20"/>
      <c r="VL77" s="20"/>
      <c r="VM77" s="20"/>
      <c r="VN77" s="20"/>
      <c r="VO77" s="20"/>
      <c r="VP77" s="20"/>
      <c r="VQ77" s="20"/>
      <c r="VR77" s="20"/>
      <c r="VS77" s="20"/>
      <c r="VT77" s="20"/>
      <c r="VU77" s="20"/>
      <c r="VV77" s="20"/>
      <c r="VW77" s="20"/>
      <c r="VX77" s="20"/>
      <c r="VY77" s="20"/>
      <c r="VZ77" s="20"/>
      <c r="WA77" s="20"/>
      <c r="WB77" s="20"/>
      <c r="WC77" s="20"/>
      <c r="WD77" s="20"/>
      <c r="WE77" s="20"/>
      <c r="WF77" s="20"/>
      <c r="WG77" s="20"/>
      <c r="WH77" s="20"/>
      <c r="WI77" s="20"/>
      <c r="WJ77" s="20"/>
      <c r="WK77" s="20"/>
      <c r="WL77" s="20"/>
      <c r="WM77" s="20"/>
      <c r="WN77" s="20"/>
      <c r="WO77" s="20"/>
      <c r="WP77" s="20"/>
      <c r="WQ77" s="20"/>
      <c r="WR77" s="20"/>
      <c r="WS77" s="20"/>
      <c r="WT77" s="20"/>
      <c r="WU77" s="20"/>
      <c r="WV77" s="20"/>
      <c r="WW77" s="20"/>
      <c r="WX77" s="20"/>
      <c r="WY77" s="20"/>
      <c r="WZ77" s="20"/>
      <c r="XA77" s="20"/>
      <c r="XB77" s="20"/>
      <c r="XC77" s="20"/>
      <c r="XD77" s="20"/>
      <c r="XE77" s="20"/>
      <c r="XF77" s="20"/>
      <c r="XG77" s="20"/>
      <c r="XH77" s="20"/>
      <c r="XI77" s="20"/>
      <c r="XJ77" s="20"/>
      <c r="XK77" s="20"/>
      <c r="XL77" s="20"/>
      <c r="XM77" s="20"/>
      <c r="XN77" s="20"/>
      <c r="XO77" s="20"/>
      <c r="XP77" s="20"/>
      <c r="XQ77" s="20"/>
      <c r="XR77" s="20"/>
      <c r="XS77" s="20"/>
      <c r="XT77" s="20"/>
      <c r="XU77" s="20"/>
      <c r="XV77" s="20"/>
      <c r="XW77" s="20"/>
      <c r="XX77" s="20"/>
      <c r="XY77" s="20"/>
      <c r="XZ77" s="20"/>
      <c r="YA77" s="20"/>
      <c r="YB77" s="20"/>
      <c r="YC77" s="20"/>
      <c r="YD77" s="20"/>
      <c r="YE77" s="20"/>
      <c r="YF77" s="20"/>
      <c r="YG77" s="20"/>
      <c r="YH77" s="20"/>
      <c r="YI77" s="20"/>
      <c r="YJ77" s="20"/>
      <c r="YK77" s="20"/>
      <c r="YL77" s="20"/>
      <c r="YM77" s="20"/>
      <c r="YN77" s="20"/>
      <c r="YO77" s="20"/>
      <c r="YP77" s="20"/>
      <c r="YQ77" s="20"/>
      <c r="YR77" s="20"/>
      <c r="YS77" s="20"/>
      <c r="YT77" s="20"/>
      <c r="YU77" s="20"/>
      <c r="YV77" s="20"/>
      <c r="YW77" s="20"/>
      <c r="YX77" s="20"/>
      <c r="YY77" s="20"/>
      <c r="YZ77" s="20"/>
      <c r="ZA77" s="20"/>
      <c r="ZB77" s="20"/>
      <c r="ZC77" s="20"/>
      <c r="ZD77" s="20"/>
      <c r="ZE77" s="20"/>
      <c r="ZF77" s="20"/>
      <c r="ZG77" s="20"/>
      <c r="ZH77" s="20"/>
      <c r="ZI77" s="20"/>
      <c r="ZJ77" s="20"/>
      <c r="ZK77" s="20"/>
      <c r="ZL77" s="20"/>
      <c r="ZM77" s="20"/>
      <c r="ZN77" s="20"/>
      <c r="ZO77" s="20"/>
      <c r="ZP77" s="20"/>
      <c r="ZQ77" s="20"/>
      <c r="ZR77" s="20"/>
      <c r="ZS77" s="20"/>
      <c r="ZT77" s="20"/>
      <c r="ZU77" s="20"/>
      <c r="ZV77" s="20"/>
      <c r="ZW77" s="20"/>
      <c r="ZX77" s="20"/>
      <c r="ZY77" s="20"/>
      <c r="ZZ77" s="20"/>
      <c r="AAA77" s="20"/>
      <c r="AAB77" s="20"/>
      <c r="AAC77" s="20"/>
      <c r="AAD77" s="20"/>
      <c r="AAE77" s="20"/>
      <c r="AAF77" s="20"/>
      <c r="AAG77" s="20"/>
      <c r="AAH77" s="20"/>
      <c r="AAI77" s="20"/>
      <c r="AAJ77" s="20"/>
      <c r="AAK77" s="20"/>
      <c r="AAL77" s="20"/>
      <c r="AAM77" s="20"/>
      <c r="AAN77" s="20"/>
      <c r="AAO77" s="20"/>
      <c r="AAP77" s="20"/>
      <c r="AAQ77" s="20"/>
      <c r="AAR77" s="20"/>
      <c r="AAS77" s="20"/>
      <c r="AAT77" s="20"/>
      <c r="AAU77" s="20"/>
      <c r="AAV77" s="20"/>
      <c r="AAW77" s="20"/>
      <c r="AAX77" s="20"/>
      <c r="AAY77" s="20"/>
      <c r="AAZ77" s="20"/>
      <c r="ABA77" s="20"/>
      <c r="ABB77" s="20"/>
      <c r="ABC77" s="20"/>
      <c r="ABD77" s="20"/>
      <c r="ABE77" s="20"/>
      <c r="ABF77" s="20"/>
      <c r="ABG77" s="20"/>
      <c r="ABH77" s="20"/>
      <c r="ABI77" s="20"/>
      <c r="ABJ77" s="20"/>
      <c r="ABK77" s="20"/>
      <c r="ABL77" s="20"/>
      <c r="ABM77" s="20"/>
      <c r="ABN77" s="20"/>
      <c r="ABO77" s="20"/>
      <c r="ABP77" s="20"/>
      <c r="ABQ77" s="20"/>
      <c r="ABR77" s="20"/>
      <c r="ABS77" s="20"/>
      <c r="ABT77" s="20"/>
      <c r="ABU77" s="20"/>
      <c r="ABV77" s="20"/>
      <c r="ABW77" s="20"/>
      <c r="ABX77" s="20"/>
      <c r="ABY77" s="20"/>
      <c r="ABZ77" s="20"/>
      <c r="ACA77" s="20"/>
      <c r="ACB77" s="20"/>
      <c r="ACC77" s="20"/>
      <c r="ACD77" s="20"/>
      <c r="ACE77" s="20"/>
      <c r="ACF77" s="20"/>
      <c r="ACG77" s="20"/>
      <c r="ACH77" s="20"/>
      <c r="ACI77" s="20"/>
      <c r="ACJ77" s="20"/>
      <c r="ACK77" s="20"/>
      <c r="ACL77" s="20"/>
      <c r="ACM77" s="20"/>
      <c r="ACN77" s="20"/>
      <c r="ACO77" s="20"/>
      <c r="ACP77" s="20"/>
      <c r="ACQ77" s="20"/>
    </row>
    <row r="78" spans="1:771" s="62" customFormat="1" ht="102">
      <c r="A78" s="20"/>
      <c r="B78" s="61" t="s">
        <v>369</v>
      </c>
      <c r="D78" s="61" t="s">
        <v>370</v>
      </c>
      <c r="F78" s="63" t="s">
        <v>370</v>
      </c>
      <c r="H78" s="61" t="s">
        <v>72</v>
      </c>
      <c r="J78" s="61" t="s">
        <v>365</v>
      </c>
      <c r="L78" s="61" t="s">
        <v>74</v>
      </c>
      <c r="N78" s="61" t="s">
        <v>103</v>
      </c>
      <c r="P78" s="61" t="s">
        <v>371</v>
      </c>
      <c r="R78" s="63" t="s">
        <v>77</v>
      </c>
      <c r="T78" s="65" t="s">
        <v>372</v>
      </c>
      <c r="U78" s="66"/>
      <c r="V78" s="67" t="s">
        <v>79</v>
      </c>
      <c r="W78" s="68"/>
      <c r="X78" s="67" t="s">
        <v>80</v>
      </c>
      <c r="Y78" s="68"/>
      <c r="Z78" s="67" t="s">
        <v>80</v>
      </c>
      <c r="AA78" s="68"/>
      <c r="AB78" s="63" t="s">
        <v>373</v>
      </c>
      <c r="AD78" s="63" t="s">
        <v>374</v>
      </c>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c r="JC78" s="20"/>
      <c r="JD78" s="20"/>
      <c r="JE78" s="20"/>
      <c r="JF78" s="20"/>
      <c r="JG78" s="20"/>
      <c r="JH78" s="20"/>
      <c r="JI78" s="20"/>
      <c r="JJ78" s="20"/>
      <c r="JK78" s="20"/>
      <c r="JL78" s="20"/>
      <c r="JM78" s="20"/>
      <c r="JN78" s="20"/>
      <c r="JO78" s="20"/>
      <c r="JP78" s="20"/>
      <c r="JQ78" s="20"/>
      <c r="JR78" s="20"/>
      <c r="JS78" s="20"/>
      <c r="JT78" s="20"/>
      <c r="JU78" s="20"/>
      <c r="JV78" s="20"/>
      <c r="JW78" s="20"/>
      <c r="JX78" s="20"/>
      <c r="JY78" s="20"/>
      <c r="JZ78" s="20"/>
      <c r="KA78" s="20"/>
      <c r="KB78" s="20"/>
      <c r="KC78" s="20"/>
      <c r="KD78" s="20"/>
      <c r="KE78" s="20"/>
      <c r="KF78" s="20"/>
      <c r="KG78" s="20"/>
      <c r="KH78" s="20"/>
      <c r="KI78" s="20"/>
      <c r="KJ78" s="20"/>
      <c r="KK78" s="20"/>
      <c r="KL78" s="20"/>
      <c r="KM78" s="20"/>
      <c r="KN78" s="20"/>
      <c r="KO78" s="20"/>
      <c r="KP78" s="20"/>
      <c r="KQ78" s="20"/>
      <c r="KR78" s="20"/>
      <c r="KS78" s="20"/>
      <c r="KT78" s="20"/>
      <c r="KU78" s="20"/>
      <c r="KV78" s="20"/>
      <c r="KW78" s="20"/>
      <c r="KX78" s="20"/>
      <c r="KY78" s="20"/>
      <c r="KZ78" s="20"/>
      <c r="LA78" s="20"/>
      <c r="LB78" s="20"/>
      <c r="LC78" s="20"/>
      <c r="LD78" s="20"/>
      <c r="LE78" s="20"/>
      <c r="LF78" s="20"/>
      <c r="LG78" s="20"/>
      <c r="LH78" s="20"/>
      <c r="LI78" s="20"/>
      <c r="LJ78" s="20"/>
      <c r="LK78" s="20"/>
      <c r="LL78" s="20"/>
      <c r="LM78" s="20"/>
      <c r="LN78" s="20"/>
      <c r="LO78" s="20"/>
      <c r="LP78" s="20"/>
      <c r="LQ78" s="20"/>
      <c r="LR78" s="20"/>
      <c r="LS78" s="20"/>
      <c r="LT78" s="20"/>
      <c r="LU78" s="20"/>
      <c r="LV78" s="20"/>
      <c r="LW78" s="20"/>
      <c r="LX78" s="20"/>
      <c r="LY78" s="20"/>
      <c r="LZ78" s="20"/>
      <c r="MA78" s="20"/>
      <c r="MB78" s="20"/>
      <c r="MC78" s="20"/>
      <c r="MD78" s="20"/>
      <c r="ME78" s="20"/>
      <c r="MF78" s="20"/>
      <c r="MG78" s="20"/>
      <c r="MH78" s="20"/>
      <c r="MI78" s="20"/>
      <c r="MJ78" s="20"/>
      <c r="MK78" s="20"/>
      <c r="ML78" s="20"/>
      <c r="MM78" s="20"/>
      <c r="MN78" s="20"/>
      <c r="MO78" s="20"/>
      <c r="MP78" s="20"/>
      <c r="MQ78" s="20"/>
      <c r="MR78" s="20"/>
      <c r="MS78" s="20"/>
      <c r="MT78" s="20"/>
      <c r="MU78" s="20"/>
      <c r="MV78" s="20"/>
      <c r="MW78" s="20"/>
      <c r="MX78" s="20"/>
      <c r="MY78" s="20"/>
      <c r="MZ78" s="20"/>
      <c r="NA78" s="20"/>
      <c r="NB78" s="20"/>
      <c r="NC78" s="20"/>
      <c r="ND78" s="20"/>
      <c r="NE78" s="20"/>
      <c r="NF78" s="20"/>
      <c r="NG78" s="20"/>
      <c r="NH78" s="20"/>
      <c r="NI78" s="20"/>
      <c r="NJ78" s="20"/>
      <c r="NK78" s="20"/>
      <c r="NL78" s="20"/>
      <c r="NM78" s="20"/>
      <c r="NN78" s="20"/>
      <c r="NO78" s="20"/>
      <c r="NP78" s="20"/>
      <c r="NQ78" s="20"/>
      <c r="NR78" s="20"/>
      <c r="NS78" s="20"/>
      <c r="NT78" s="20"/>
      <c r="NU78" s="20"/>
      <c r="NV78" s="20"/>
      <c r="NW78" s="20"/>
      <c r="NX78" s="20"/>
      <c r="NY78" s="20"/>
      <c r="NZ78" s="20"/>
      <c r="OA78" s="20"/>
      <c r="OB78" s="20"/>
      <c r="OC78" s="20"/>
      <c r="OD78" s="20"/>
      <c r="OE78" s="20"/>
      <c r="OF78" s="20"/>
      <c r="OG78" s="20"/>
      <c r="OH78" s="20"/>
      <c r="OI78" s="20"/>
      <c r="OJ78" s="20"/>
      <c r="OK78" s="20"/>
      <c r="OL78" s="20"/>
      <c r="OM78" s="20"/>
      <c r="ON78" s="20"/>
      <c r="OO78" s="20"/>
      <c r="OP78" s="20"/>
      <c r="OQ78" s="20"/>
      <c r="OR78" s="20"/>
      <c r="OS78" s="20"/>
      <c r="OT78" s="20"/>
      <c r="OU78" s="20"/>
      <c r="OV78" s="20"/>
      <c r="OW78" s="20"/>
      <c r="OX78" s="20"/>
      <c r="OY78" s="20"/>
      <c r="OZ78" s="20"/>
      <c r="PA78" s="20"/>
      <c r="PB78" s="20"/>
      <c r="PC78" s="20"/>
      <c r="PD78" s="20"/>
      <c r="PE78" s="20"/>
      <c r="PF78" s="20"/>
      <c r="PG78" s="20"/>
      <c r="PH78" s="20"/>
      <c r="PI78" s="20"/>
      <c r="PJ78" s="20"/>
      <c r="PK78" s="20"/>
      <c r="PL78" s="20"/>
      <c r="PM78" s="20"/>
      <c r="PN78" s="20"/>
      <c r="PO78" s="20"/>
      <c r="PP78" s="20"/>
      <c r="PQ78" s="20"/>
      <c r="PR78" s="20"/>
      <c r="PS78" s="20"/>
      <c r="PT78" s="20"/>
      <c r="PU78" s="20"/>
      <c r="PV78" s="20"/>
      <c r="PW78" s="20"/>
      <c r="PX78" s="20"/>
      <c r="PY78" s="20"/>
      <c r="PZ78" s="20"/>
      <c r="QA78" s="20"/>
      <c r="QB78" s="20"/>
      <c r="QC78" s="20"/>
      <c r="QD78" s="20"/>
      <c r="QE78" s="20"/>
      <c r="QF78" s="20"/>
      <c r="QG78" s="20"/>
      <c r="QH78" s="20"/>
      <c r="QI78" s="20"/>
      <c r="QJ78" s="20"/>
      <c r="QK78" s="20"/>
      <c r="QL78" s="20"/>
      <c r="QM78" s="20"/>
      <c r="QN78" s="20"/>
      <c r="QO78" s="20"/>
      <c r="QP78" s="20"/>
      <c r="QQ78" s="20"/>
      <c r="QR78" s="20"/>
      <c r="QS78" s="20"/>
      <c r="QT78" s="20"/>
      <c r="QU78" s="20"/>
      <c r="QV78" s="20"/>
      <c r="QW78" s="20"/>
      <c r="QX78" s="20"/>
      <c r="QY78" s="20"/>
      <c r="QZ78" s="20"/>
      <c r="RA78" s="20"/>
      <c r="RB78" s="20"/>
      <c r="RC78" s="20"/>
      <c r="RD78" s="20"/>
      <c r="RE78" s="20"/>
      <c r="RF78" s="20"/>
      <c r="RG78" s="20"/>
      <c r="RH78" s="20"/>
      <c r="RI78" s="20"/>
      <c r="RJ78" s="20"/>
      <c r="RK78" s="20"/>
      <c r="RL78" s="20"/>
      <c r="RM78" s="20"/>
      <c r="RN78" s="20"/>
      <c r="RO78" s="20"/>
      <c r="RP78" s="20"/>
      <c r="RQ78" s="20"/>
      <c r="RR78" s="20"/>
      <c r="RS78" s="20"/>
      <c r="RT78" s="20"/>
      <c r="RU78" s="20"/>
      <c r="RV78" s="20"/>
      <c r="RW78" s="20"/>
      <c r="RX78" s="20"/>
      <c r="RY78" s="20"/>
      <c r="RZ78" s="20"/>
      <c r="SA78" s="20"/>
      <c r="SB78" s="20"/>
      <c r="SC78" s="20"/>
      <c r="SD78" s="20"/>
      <c r="SE78" s="20"/>
      <c r="SF78" s="20"/>
      <c r="SG78" s="20"/>
      <c r="SH78" s="20"/>
      <c r="SI78" s="20"/>
      <c r="SJ78" s="20"/>
      <c r="SK78" s="20"/>
      <c r="SL78" s="20"/>
      <c r="SM78" s="20"/>
      <c r="SN78" s="20"/>
      <c r="SO78" s="20"/>
      <c r="SP78" s="20"/>
      <c r="SQ78" s="20"/>
      <c r="SR78" s="20"/>
      <c r="SS78" s="20"/>
      <c r="ST78" s="20"/>
      <c r="SU78" s="20"/>
      <c r="SV78" s="20"/>
      <c r="SW78" s="20"/>
      <c r="SX78" s="20"/>
      <c r="SY78" s="20"/>
      <c r="SZ78" s="20"/>
      <c r="TA78" s="20"/>
      <c r="TB78" s="20"/>
      <c r="TC78" s="20"/>
      <c r="TD78" s="20"/>
      <c r="TE78" s="20"/>
      <c r="TF78" s="20"/>
      <c r="TG78" s="20"/>
      <c r="TH78" s="20"/>
      <c r="TI78" s="20"/>
      <c r="TJ78" s="20"/>
      <c r="TK78" s="20"/>
      <c r="TL78" s="20"/>
      <c r="TM78" s="20"/>
      <c r="TN78" s="20"/>
      <c r="TO78" s="20"/>
      <c r="TP78" s="20"/>
      <c r="TQ78" s="20"/>
      <c r="TR78" s="20"/>
      <c r="TS78" s="20"/>
      <c r="TT78" s="20"/>
      <c r="TU78" s="20"/>
      <c r="TV78" s="20"/>
      <c r="TW78" s="20"/>
      <c r="TX78" s="20"/>
      <c r="TY78" s="20"/>
      <c r="TZ78" s="20"/>
      <c r="UA78" s="20"/>
      <c r="UB78" s="20"/>
      <c r="UC78" s="20"/>
      <c r="UD78" s="20"/>
      <c r="UE78" s="20"/>
      <c r="UF78" s="20"/>
      <c r="UG78" s="20"/>
      <c r="UH78" s="20"/>
      <c r="UI78" s="20"/>
      <c r="UJ78" s="20"/>
      <c r="UK78" s="20"/>
      <c r="UL78" s="20"/>
      <c r="UM78" s="20"/>
      <c r="UN78" s="20"/>
      <c r="UO78" s="20"/>
      <c r="UP78" s="20"/>
      <c r="UQ78" s="20"/>
      <c r="UR78" s="20"/>
      <c r="US78" s="20"/>
      <c r="UT78" s="20"/>
      <c r="UU78" s="20"/>
      <c r="UV78" s="20"/>
      <c r="UW78" s="20"/>
      <c r="UX78" s="20"/>
      <c r="UY78" s="20"/>
      <c r="UZ78" s="20"/>
      <c r="VA78" s="20"/>
      <c r="VB78" s="20"/>
      <c r="VC78" s="20"/>
      <c r="VD78" s="20"/>
      <c r="VE78" s="20"/>
      <c r="VF78" s="20"/>
      <c r="VG78" s="20"/>
      <c r="VH78" s="20"/>
      <c r="VI78" s="20"/>
      <c r="VJ78" s="20"/>
      <c r="VK78" s="20"/>
      <c r="VL78" s="20"/>
      <c r="VM78" s="20"/>
      <c r="VN78" s="20"/>
      <c r="VO78" s="20"/>
      <c r="VP78" s="20"/>
      <c r="VQ78" s="20"/>
      <c r="VR78" s="20"/>
      <c r="VS78" s="20"/>
      <c r="VT78" s="20"/>
      <c r="VU78" s="20"/>
      <c r="VV78" s="20"/>
      <c r="VW78" s="20"/>
      <c r="VX78" s="20"/>
      <c r="VY78" s="20"/>
      <c r="VZ78" s="20"/>
      <c r="WA78" s="20"/>
      <c r="WB78" s="20"/>
      <c r="WC78" s="20"/>
      <c r="WD78" s="20"/>
      <c r="WE78" s="20"/>
      <c r="WF78" s="20"/>
      <c r="WG78" s="20"/>
      <c r="WH78" s="20"/>
      <c r="WI78" s="20"/>
      <c r="WJ78" s="20"/>
      <c r="WK78" s="20"/>
      <c r="WL78" s="20"/>
      <c r="WM78" s="20"/>
      <c r="WN78" s="20"/>
      <c r="WO78" s="20"/>
      <c r="WP78" s="20"/>
      <c r="WQ78" s="20"/>
      <c r="WR78" s="20"/>
      <c r="WS78" s="20"/>
      <c r="WT78" s="20"/>
      <c r="WU78" s="20"/>
      <c r="WV78" s="20"/>
      <c r="WW78" s="20"/>
      <c r="WX78" s="20"/>
      <c r="WY78" s="20"/>
      <c r="WZ78" s="20"/>
      <c r="XA78" s="20"/>
      <c r="XB78" s="20"/>
      <c r="XC78" s="20"/>
      <c r="XD78" s="20"/>
      <c r="XE78" s="20"/>
      <c r="XF78" s="20"/>
      <c r="XG78" s="20"/>
      <c r="XH78" s="20"/>
      <c r="XI78" s="20"/>
      <c r="XJ78" s="20"/>
      <c r="XK78" s="20"/>
      <c r="XL78" s="20"/>
      <c r="XM78" s="20"/>
      <c r="XN78" s="20"/>
      <c r="XO78" s="20"/>
      <c r="XP78" s="20"/>
      <c r="XQ78" s="20"/>
      <c r="XR78" s="20"/>
      <c r="XS78" s="20"/>
      <c r="XT78" s="20"/>
      <c r="XU78" s="20"/>
      <c r="XV78" s="20"/>
      <c r="XW78" s="20"/>
      <c r="XX78" s="20"/>
      <c r="XY78" s="20"/>
      <c r="XZ78" s="20"/>
      <c r="YA78" s="20"/>
      <c r="YB78" s="20"/>
      <c r="YC78" s="20"/>
      <c r="YD78" s="20"/>
      <c r="YE78" s="20"/>
      <c r="YF78" s="20"/>
      <c r="YG78" s="20"/>
      <c r="YH78" s="20"/>
      <c r="YI78" s="20"/>
      <c r="YJ78" s="20"/>
      <c r="YK78" s="20"/>
      <c r="YL78" s="20"/>
      <c r="YM78" s="20"/>
      <c r="YN78" s="20"/>
      <c r="YO78" s="20"/>
      <c r="YP78" s="20"/>
      <c r="YQ78" s="20"/>
      <c r="YR78" s="20"/>
      <c r="YS78" s="20"/>
      <c r="YT78" s="20"/>
      <c r="YU78" s="20"/>
      <c r="YV78" s="20"/>
      <c r="YW78" s="20"/>
      <c r="YX78" s="20"/>
      <c r="YY78" s="20"/>
      <c r="YZ78" s="20"/>
      <c r="ZA78" s="20"/>
      <c r="ZB78" s="20"/>
      <c r="ZC78" s="20"/>
      <c r="ZD78" s="20"/>
      <c r="ZE78" s="20"/>
      <c r="ZF78" s="20"/>
      <c r="ZG78" s="20"/>
      <c r="ZH78" s="20"/>
      <c r="ZI78" s="20"/>
      <c r="ZJ78" s="20"/>
      <c r="ZK78" s="20"/>
      <c r="ZL78" s="20"/>
      <c r="ZM78" s="20"/>
      <c r="ZN78" s="20"/>
      <c r="ZO78" s="20"/>
      <c r="ZP78" s="20"/>
      <c r="ZQ78" s="20"/>
      <c r="ZR78" s="20"/>
      <c r="ZS78" s="20"/>
      <c r="ZT78" s="20"/>
      <c r="ZU78" s="20"/>
      <c r="ZV78" s="20"/>
      <c r="ZW78" s="20"/>
      <c r="ZX78" s="20"/>
      <c r="ZY78" s="20"/>
      <c r="ZZ78" s="20"/>
      <c r="AAA78" s="20"/>
      <c r="AAB78" s="20"/>
      <c r="AAC78" s="20"/>
      <c r="AAD78" s="20"/>
      <c r="AAE78" s="20"/>
      <c r="AAF78" s="20"/>
      <c r="AAG78" s="20"/>
      <c r="AAH78" s="20"/>
      <c r="AAI78" s="20"/>
      <c r="AAJ78" s="20"/>
      <c r="AAK78" s="20"/>
      <c r="AAL78" s="20"/>
      <c r="AAM78" s="20"/>
      <c r="AAN78" s="20"/>
      <c r="AAO78" s="20"/>
      <c r="AAP78" s="20"/>
      <c r="AAQ78" s="20"/>
      <c r="AAR78" s="20"/>
      <c r="AAS78" s="20"/>
      <c r="AAT78" s="20"/>
      <c r="AAU78" s="20"/>
      <c r="AAV78" s="20"/>
      <c r="AAW78" s="20"/>
      <c r="AAX78" s="20"/>
      <c r="AAY78" s="20"/>
      <c r="AAZ78" s="20"/>
      <c r="ABA78" s="20"/>
      <c r="ABB78" s="20"/>
      <c r="ABC78" s="20"/>
      <c r="ABD78" s="20"/>
      <c r="ABE78" s="20"/>
      <c r="ABF78" s="20"/>
      <c r="ABG78" s="20"/>
      <c r="ABH78" s="20"/>
      <c r="ABI78" s="20"/>
      <c r="ABJ78" s="20"/>
      <c r="ABK78" s="20"/>
      <c r="ABL78" s="20"/>
      <c r="ABM78" s="20"/>
      <c r="ABN78" s="20"/>
      <c r="ABO78" s="20"/>
      <c r="ABP78" s="20"/>
      <c r="ABQ78" s="20"/>
      <c r="ABR78" s="20"/>
      <c r="ABS78" s="20"/>
      <c r="ABT78" s="20"/>
      <c r="ABU78" s="20"/>
      <c r="ABV78" s="20"/>
      <c r="ABW78" s="20"/>
      <c r="ABX78" s="20"/>
      <c r="ABY78" s="20"/>
      <c r="ABZ78" s="20"/>
      <c r="ACA78" s="20"/>
      <c r="ACB78" s="20"/>
      <c r="ACC78" s="20"/>
      <c r="ACD78" s="20"/>
      <c r="ACE78" s="20"/>
      <c r="ACF78" s="20"/>
      <c r="ACG78" s="20"/>
      <c r="ACH78" s="20"/>
      <c r="ACI78" s="20"/>
      <c r="ACJ78" s="20"/>
      <c r="ACK78" s="20"/>
      <c r="ACL78" s="20"/>
      <c r="ACM78" s="20"/>
      <c r="ACN78" s="20"/>
      <c r="ACO78" s="20"/>
      <c r="ACP78" s="20"/>
      <c r="ACQ78" s="20"/>
    </row>
    <row r="79" spans="1:771" s="62" customFormat="1" ht="102">
      <c r="A79" s="20"/>
      <c r="B79" s="61" t="s">
        <v>369</v>
      </c>
      <c r="D79" s="61" t="s">
        <v>370</v>
      </c>
      <c r="F79" s="63" t="s">
        <v>370</v>
      </c>
      <c r="H79" s="61" t="s">
        <v>116</v>
      </c>
      <c r="J79" s="61" t="s">
        <v>365</v>
      </c>
      <c r="L79" s="61" t="s">
        <v>74</v>
      </c>
      <c r="N79" s="61" t="s">
        <v>103</v>
      </c>
      <c r="P79" s="61" t="s">
        <v>371</v>
      </c>
      <c r="R79" s="63" t="s">
        <v>77</v>
      </c>
      <c r="T79" s="65" t="s">
        <v>372</v>
      </c>
      <c r="U79" s="66"/>
      <c r="V79" s="67" t="s">
        <v>79</v>
      </c>
      <c r="W79" s="68"/>
      <c r="X79" s="67" t="s">
        <v>80</v>
      </c>
      <c r="Y79" s="68"/>
      <c r="Z79" s="67" t="s">
        <v>80</v>
      </c>
      <c r="AA79" s="68"/>
      <c r="AB79" s="63" t="s">
        <v>373</v>
      </c>
      <c r="AD79" s="63" t="s">
        <v>374</v>
      </c>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c r="JC79" s="20"/>
      <c r="JD79" s="20"/>
      <c r="JE79" s="20"/>
      <c r="JF79" s="20"/>
      <c r="JG79" s="20"/>
      <c r="JH79" s="20"/>
      <c r="JI79" s="20"/>
      <c r="JJ79" s="20"/>
      <c r="JK79" s="20"/>
      <c r="JL79" s="20"/>
      <c r="JM79" s="20"/>
      <c r="JN79" s="20"/>
      <c r="JO79" s="20"/>
      <c r="JP79" s="20"/>
      <c r="JQ79" s="20"/>
      <c r="JR79" s="20"/>
      <c r="JS79" s="20"/>
      <c r="JT79" s="20"/>
      <c r="JU79" s="20"/>
      <c r="JV79" s="20"/>
      <c r="JW79" s="20"/>
      <c r="JX79" s="20"/>
      <c r="JY79" s="20"/>
      <c r="JZ79" s="20"/>
      <c r="KA79" s="20"/>
      <c r="KB79" s="20"/>
      <c r="KC79" s="20"/>
      <c r="KD79" s="20"/>
      <c r="KE79" s="20"/>
      <c r="KF79" s="20"/>
      <c r="KG79" s="20"/>
      <c r="KH79" s="20"/>
      <c r="KI79" s="20"/>
      <c r="KJ79" s="20"/>
      <c r="KK79" s="20"/>
      <c r="KL79" s="20"/>
      <c r="KM79" s="20"/>
      <c r="KN79" s="20"/>
      <c r="KO79" s="20"/>
      <c r="KP79" s="20"/>
      <c r="KQ79" s="20"/>
      <c r="KR79" s="20"/>
      <c r="KS79" s="20"/>
      <c r="KT79" s="20"/>
      <c r="KU79" s="20"/>
      <c r="KV79" s="20"/>
      <c r="KW79" s="20"/>
      <c r="KX79" s="20"/>
      <c r="KY79" s="20"/>
      <c r="KZ79" s="20"/>
      <c r="LA79" s="20"/>
      <c r="LB79" s="20"/>
      <c r="LC79" s="20"/>
      <c r="LD79" s="20"/>
      <c r="LE79" s="20"/>
      <c r="LF79" s="20"/>
      <c r="LG79" s="20"/>
      <c r="LH79" s="20"/>
      <c r="LI79" s="20"/>
      <c r="LJ79" s="20"/>
      <c r="LK79" s="20"/>
      <c r="LL79" s="20"/>
      <c r="LM79" s="20"/>
      <c r="LN79" s="20"/>
      <c r="LO79" s="20"/>
      <c r="LP79" s="20"/>
      <c r="LQ79" s="20"/>
      <c r="LR79" s="20"/>
      <c r="LS79" s="20"/>
      <c r="LT79" s="20"/>
      <c r="LU79" s="20"/>
      <c r="LV79" s="20"/>
      <c r="LW79" s="20"/>
      <c r="LX79" s="20"/>
      <c r="LY79" s="20"/>
      <c r="LZ79" s="20"/>
      <c r="MA79" s="20"/>
      <c r="MB79" s="20"/>
      <c r="MC79" s="20"/>
      <c r="MD79" s="20"/>
      <c r="ME79" s="20"/>
      <c r="MF79" s="20"/>
      <c r="MG79" s="20"/>
      <c r="MH79" s="20"/>
      <c r="MI79" s="20"/>
      <c r="MJ79" s="20"/>
      <c r="MK79" s="20"/>
      <c r="ML79" s="20"/>
      <c r="MM79" s="20"/>
      <c r="MN79" s="20"/>
      <c r="MO79" s="20"/>
      <c r="MP79" s="20"/>
      <c r="MQ79" s="20"/>
      <c r="MR79" s="20"/>
      <c r="MS79" s="20"/>
      <c r="MT79" s="20"/>
      <c r="MU79" s="20"/>
      <c r="MV79" s="20"/>
      <c r="MW79" s="20"/>
      <c r="MX79" s="20"/>
      <c r="MY79" s="20"/>
      <c r="MZ79" s="20"/>
      <c r="NA79" s="20"/>
      <c r="NB79" s="20"/>
      <c r="NC79" s="20"/>
      <c r="ND79" s="20"/>
      <c r="NE79" s="20"/>
      <c r="NF79" s="20"/>
      <c r="NG79" s="20"/>
      <c r="NH79" s="20"/>
      <c r="NI79" s="20"/>
      <c r="NJ79" s="20"/>
      <c r="NK79" s="20"/>
      <c r="NL79" s="20"/>
      <c r="NM79" s="20"/>
      <c r="NN79" s="20"/>
      <c r="NO79" s="20"/>
      <c r="NP79" s="20"/>
      <c r="NQ79" s="20"/>
      <c r="NR79" s="20"/>
      <c r="NS79" s="20"/>
      <c r="NT79" s="20"/>
      <c r="NU79" s="20"/>
      <c r="NV79" s="20"/>
      <c r="NW79" s="20"/>
      <c r="NX79" s="20"/>
      <c r="NY79" s="20"/>
      <c r="NZ79" s="20"/>
      <c r="OA79" s="20"/>
      <c r="OB79" s="20"/>
      <c r="OC79" s="20"/>
      <c r="OD79" s="20"/>
      <c r="OE79" s="20"/>
      <c r="OF79" s="20"/>
      <c r="OG79" s="20"/>
      <c r="OH79" s="20"/>
      <c r="OI79" s="20"/>
      <c r="OJ79" s="20"/>
      <c r="OK79" s="20"/>
      <c r="OL79" s="20"/>
      <c r="OM79" s="20"/>
      <c r="ON79" s="20"/>
      <c r="OO79" s="20"/>
      <c r="OP79" s="20"/>
      <c r="OQ79" s="20"/>
      <c r="OR79" s="20"/>
      <c r="OS79" s="20"/>
      <c r="OT79" s="20"/>
      <c r="OU79" s="20"/>
      <c r="OV79" s="20"/>
      <c r="OW79" s="20"/>
      <c r="OX79" s="20"/>
      <c r="OY79" s="20"/>
      <c r="OZ79" s="20"/>
      <c r="PA79" s="20"/>
      <c r="PB79" s="20"/>
      <c r="PC79" s="20"/>
      <c r="PD79" s="20"/>
      <c r="PE79" s="20"/>
      <c r="PF79" s="20"/>
      <c r="PG79" s="20"/>
      <c r="PH79" s="20"/>
      <c r="PI79" s="20"/>
      <c r="PJ79" s="20"/>
      <c r="PK79" s="20"/>
      <c r="PL79" s="20"/>
      <c r="PM79" s="20"/>
      <c r="PN79" s="20"/>
      <c r="PO79" s="20"/>
      <c r="PP79" s="20"/>
      <c r="PQ79" s="20"/>
      <c r="PR79" s="20"/>
      <c r="PS79" s="20"/>
      <c r="PT79" s="20"/>
      <c r="PU79" s="20"/>
      <c r="PV79" s="20"/>
      <c r="PW79" s="20"/>
      <c r="PX79" s="20"/>
      <c r="PY79" s="20"/>
      <c r="PZ79" s="20"/>
      <c r="QA79" s="20"/>
      <c r="QB79" s="20"/>
      <c r="QC79" s="20"/>
      <c r="QD79" s="20"/>
      <c r="QE79" s="20"/>
      <c r="QF79" s="20"/>
      <c r="QG79" s="20"/>
      <c r="QH79" s="20"/>
      <c r="QI79" s="20"/>
      <c r="QJ79" s="20"/>
      <c r="QK79" s="20"/>
      <c r="QL79" s="20"/>
      <c r="QM79" s="20"/>
      <c r="QN79" s="20"/>
      <c r="QO79" s="20"/>
      <c r="QP79" s="20"/>
      <c r="QQ79" s="20"/>
      <c r="QR79" s="20"/>
      <c r="QS79" s="20"/>
      <c r="QT79" s="20"/>
      <c r="QU79" s="20"/>
      <c r="QV79" s="20"/>
      <c r="QW79" s="20"/>
      <c r="QX79" s="20"/>
      <c r="QY79" s="20"/>
      <c r="QZ79" s="20"/>
      <c r="RA79" s="20"/>
      <c r="RB79" s="20"/>
      <c r="RC79" s="20"/>
      <c r="RD79" s="20"/>
      <c r="RE79" s="20"/>
      <c r="RF79" s="20"/>
      <c r="RG79" s="20"/>
      <c r="RH79" s="20"/>
      <c r="RI79" s="20"/>
      <c r="RJ79" s="20"/>
      <c r="RK79" s="20"/>
      <c r="RL79" s="20"/>
      <c r="RM79" s="20"/>
      <c r="RN79" s="20"/>
      <c r="RO79" s="20"/>
      <c r="RP79" s="20"/>
      <c r="RQ79" s="20"/>
      <c r="RR79" s="20"/>
      <c r="RS79" s="20"/>
      <c r="RT79" s="20"/>
      <c r="RU79" s="20"/>
      <c r="RV79" s="20"/>
      <c r="RW79" s="20"/>
      <c r="RX79" s="20"/>
      <c r="RY79" s="20"/>
      <c r="RZ79" s="20"/>
      <c r="SA79" s="20"/>
      <c r="SB79" s="20"/>
      <c r="SC79" s="20"/>
      <c r="SD79" s="20"/>
      <c r="SE79" s="20"/>
      <c r="SF79" s="20"/>
      <c r="SG79" s="20"/>
      <c r="SH79" s="20"/>
      <c r="SI79" s="20"/>
      <c r="SJ79" s="20"/>
      <c r="SK79" s="20"/>
      <c r="SL79" s="20"/>
      <c r="SM79" s="20"/>
      <c r="SN79" s="20"/>
      <c r="SO79" s="20"/>
      <c r="SP79" s="20"/>
      <c r="SQ79" s="20"/>
      <c r="SR79" s="20"/>
      <c r="SS79" s="20"/>
      <c r="ST79" s="20"/>
      <c r="SU79" s="20"/>
      <c r="SV79" s="20"/>
      <c r="SW79" s="20"/>
      <c r="SX79" s="20"/>
      <c r="SY79" s="20"/>
      <c r="SZ79" s="20"/>
      <c r="TA79" s="20"/>
      <c r="TB79" s="20"/>
      <c r="TC79" s="20"/>
      <c r="TD79" s="20"/>
      <c r="TE79" s="20"/>
      <c r="TF79" s="20"/>
      <c r="TG79" s="20"/>
      <c r="TH79" s="20"/>
      <c r="TI79" s="20"/>
      <c r="TJ79" s="20"/>
      <c r="TK79" s="20"/>
      <c r="TL79" s="20"/>
      <c r="TM79" s="20"/>
      <c r="TN79" s="20"/>
      <c r="TO79" s="20"/>
      <c r="TP79" s="20"/>
      <c r="TQ79" s="20"/>
      <c r="TR79" s="20"/>
      <c r="TS79" s="20"/>
      <c r="TT79" s="20"/>
      <c r="TU79" s="20"/>
      <c r="TV79" s="20"/>
      <c r="TW79" s="20"/>
      <c r="TX79" s="20"/>
      <c r="TY79" s="20"/>
      <c r="TZ79" s="20"/>
      <c r="UA79" s="20"/>
      <c r="UB79" s="20"/>
      <c r="UC79" s="20"/>
      <c r="UD79" s="20"/>
      <c r="UE79" s="20"/>
      <c r="UF79" s="20"/>
      <c r="UG79" s="20"/>
      <c r="UH79" s="20"/>
      <c r="UI79" s="20"/>
      <c r="UJ79" s="20"/>
      <c r="UK79" s="20"/>
      <c r="UL79" s="20"/>
      <c r="UM79" s="20"/>
      <c r="UN79" s="20"/>
      <c r="UO79" s="20"/>
      <c r="UP79" s="20"/>
      <c r="UQ79" s="20"/>
      <c r="UR79" s="20"/>
      <c r="US79" s="20"/>
      <c r="UT79" s="20"/>
      <c r="UU79" s="20"/>
      <c r="UV79" s="20"/>
      <c r="UW79" s="20"/>
      <c r="UX79" s="20"/>
      <c r="UY79" s="20"/>
      <c r="UZ79" s="20"/>
      <c r="VA79" s="20"/>
      <c r="VB79" s="20"/>
      <c r="VC79" s="20"/>
      <c r="VD79" s="20"/>
      <c r="VE79" s="20"/>
      <c r="VF79" s="20"/>
      <c r="VG79" s="20"/>
      <c r="VH79" s="20"/>
      <c r="VI79" s="20"/>
      <c r="VJ79" s="20"/>
      <c r="VK79" s="20"/>
      <c r="VL79" s="20"/>
      <c r="VM79" s="20"/>
      <c r="VN79" s="20"/>
      <c r="VO79" s="20"/>
      <c r="VP79" s="20"/>
      <c r="VQ79" s="20"/>
      <c r="VR79" s="20"/>
      <c r="VS79" s="20"/>
      <c r="VT79" s="20"/>
      <c r="VU79" s="20"/>
      <c r="VV79" s="20"/>
      <c r="VW79" s="20"/>
      <c r="VX79" s="20"/>
      <c r="VY79" s="20"/>
      <c r="VZ79" s="20"/>
      <c r="WA79" s="20"/>
      <c r="WB79" s="20"/>
      <c r="WC79" s="20"/>
      <c r="WD79" s="20"/>
      <c r="WE79" s="20"/>
      <c r="WF79" s="20"/>
      <c r="WG79" s="20"/>
      <c r="WH79" s="20"/>
      <c r="WI79" s="20"/>
      <c r="WJ79" s="20"/>
      <c r="WK79" s="20"/>
      <c r="WL79" s="20"/>
      <c r="WM79" s="20"/>
      <c r="WN79" s="20"/>
      <c r="WO79" s="20"/>
      <c r="WP79" s="20"/>
      <c r="WQ79" s="20"/>
      <c r="WR79" s="20"/>
      <c r="WS79" s="20"/>
      <c r="WT79" s="20"/>
      <c r="WU79" s="20"/>
      <c r="WV79" s="20"/>
      <c r="WW79" s="20"/>
      <c r="WX79" s="20"/>
      <c r="WY79" s="20"/>
      <c r="WZ79" s="20"/>
      <c r="XA79" s="20"/>
      <c r="XB79" s="20"/>
      <c r="XC79" s="20"/>
      <c r="XD79" s="20"/>
      <c r="XE79" s="20"/>
      <c r="XF79" s="20"/>
      <c r="XG79" s="20"/>
      <c r="XH79" s="20"/>
      <c r="XI79" s="20"/>
      <c r="XJ79" s="20"/>
      <c r="XK79" s="20"/>
      <c r="XL79" s="20"/>
      <c r="XM79" s="20"/>
      <c r="XN79" s="20"/>
      <c r="XO79" s="20"/>
      <c r="XP79" s="20"/>
      <c r="XQ79" s="20"/>
      <c r="XR79" s="20"/>
      <c r="XS79" s="20"/>
      <c r="XT79" s="20"/>
      <c r="XU79" s="20"/>
      <c r="XV79" s="20"/>
      <c r="XW79" s="20"/>
      <c r="XX79" s="20"/>
      <c r="XY79" s="20"/>
      <c r="XZ79" s="20"/>
      <c r="YA79" s="20"/>
      <c r="YB79" s="20"/>
      <c r="YC79" s="20"/>
      <c r="YD79" s="20"/>
      <c r="YE79" s="20"/>
      <c r="YF79" s="20"/>
      <c r="YG79" s="20"/>
      <c r="YH79" s="20"/>
      <c r="YI79" s="20"/>
      <c r="YJ79" s="20"/>
      <c r="YK79" s="20"/>
      <c r="YL79" s="20"/>
      <c r="YM79" s="20"/>
      <c r="YN79" s="20"/>
      <c r="YO79" s="20"/>
      <c r="YP79" s="20"/>
      <c r="YQ79" s="20"/>
      <c r="YR79" s="20"/>
      <c r="YS79" s="20"/>
      <c r="YT79" s="20"/>
      <c r="YU79" s="20"/>
      <c r="YV79" s="20"/>
      <c r="YW79" s="20"/>
      <c r="YX79" s="20"/>
      <c r="YY79" s="20"/>
      <c r="YZ79" s="20"/>
      <c r="ZA79" s="20"/>
      <c r="ZB79" s="20"/>
      <c r="ZC79" s="20"/>
      <c r="ZD79" s="20"/>
      <c r="ZE79" s="20"/>
      <c r="ZF79" s="20"/>
      <c r="ZG79" s="20"/>
      <c r="ZH79" s="20"/>
      <c r="ZI79" s="20"/>
      <c r="ZJ79" s="20"/>
      <c r="ZK79" s="20"/>
      <c r="ZL79" s="20"/>
      <c r="ZM79" s="20"/>
      <c r="ZN79" s="20"/>
      <c r="ZO79" s="20"/>
      <c r="ZP79" s="20"/>
      <c r="ZQ79" s="20"/>
      <c r="ZR79" s="20"/>
      <c r="ZS79" s="20"/>
      <c r="ZT79" s="20"/>
      <c r="ZU79" s="20"/>
      <c r="ZV79" s="20"/>
      <c r="ZW79" s="20"/>
      <c r="ZX79" s="20"/>
      <c r="ZY79" s="20"/>
      <c r="ZZ79" s="20"/>
      <c r="AAA79" s="20"/>
      <c r="AAB79" s="20"/>
      <c r="AAC79" s="20"/>
      <c r="AAD79" s="20"/>
      <c r="AAE79" s="20"/>
      <c r="AAF79" s="20"/>
      <c r="AAG79" s="20"/>
      <c r="AAH79" s="20"/>
      <c r="AAI79" s="20"/>
      <c r="AAJ79" s="20"/>
      <c r="AAK79" s="20"/>
      <c r="AAL79" s="20"/>
      <c r="AAM79" s="20"/>
      <c r="AAN79" s="20"/>
      <c r="AAO79" s="20"/>
      <c r="AAP79" s="20"/>
      <c r="AAQ79" s="20"/>
      <c r="AAR79" s="20"/>
      <c r="AAS79" s="20"/>
      <c r="AAT79" s="20"/>
      <c r="AAU79" s="20"/>
      <c r="AAV79" s="20"/>
      <c r="AAW79" s="20"/>
      <c r="AAX79" s="20"/>
      <c r="AAY79" s="20"/>
      <c r="AAZ79" s="20"/>
      <c r="ABA79" s="20"/>
      <c r="ABB79" s="20"/>
      <c r="ABC79" s="20"/>
      <c r="ABD79" s="20"/>
      <c r="ABE79" s="20"/>
      <c r="ABF79" s="20"/>
      <c r="ABG79" s="20"/>
      <c r="ABH79" s="20"/>
      <c r="ABI79" s="20"/>
      <c r="ABJ79" s="20"/>
      <c r="ABK79" s="20"/>
      <c r="ABL79" s="20"/>
      <c r="ABM79" s="20"/>
      <c r="ABN79" s="20"/>
      <c r="ABO79" s="20"/>
      <c r="ABP79" s="20"/>
      <c r="ABQ79" s="20"/>
      <c r="ABR79" s="20"/>
      <c r="ABS79" s="20"/>
      <c r="ABT79" s="20"/>
      <c r="ABU79" s="20"/>
      <c r="ABV79" s="20"/>
      <c r="ABW79" s="20"/>
      <c r="ABX79" s="20"/>
      <c r="ABY79" s="20"/>
      <c r="ABZ79" s="20"/>
      <c r="ACA79" s="20"/>
      <c r="ACB79" s="20"/>
      <c r="ACC79" s="20"/>
      <c r="ACD79" s="20"/>
      <c r="ACE79" s="20"/>
      <c r="ACF79" s="20"/>
      <c r="ACG79" s="20"/>
      <c r="ACH79" s="20"/>
      <c r="ACI79" s="20"/>
      <c r="ACJ79" s="20"/>
      <c r="ACK79" s="20"/>
      <c r="ACL79" s="20"/>
      <c r="ACM79" s="20"/>
      <c r="ACN79" s="20"/>
      <c r="ACO79" s="20"/>
      <c r="ACP79" s="20"/>
      <c r="ACQ79" s="20"/>
    </row>
    <row r="80" spans="1:771" s="62" customFormat="1" ht="102">
      <c r="A80" s="20"/>
      <c r="B80" s="61" t="s">
        <v>369</v>
      </c>
      <c r="D80" s="61" t="s">
        <v>370</v>
      </c>
      <c r="F80" s="63" t="s">
        <v>370</v>
      </c>
      <c r="H80" s="61" t="s">
        <v>124</v>
      </c>
      <c r="J80" s="61" t="s">
        <v>365</v>
      </c>
      <c r="L80" s="61" t="s">
        <v>74</v>
      </c>
      <c r="N80" s="61" t="s">
        <v>103</v>
      </c>
      <c r="P80" s="61" t="s">
        <v>371</v>
      </c>
      <c r="R80" s="63" t="s">
        <v>77</v>
      </c>
      <c r="T80" s="65" t="s">
        <v>372</v>
      </c>
      <c r="U80" s="66"/>
      <c r="V80" s="67" t="s">
        <v>79</v>
      </c>
      <c r="W80" s="68"/>
      <c r="X80" s="67" t="s">
        <v>80</v>
      </c>
      <c r="Y80" s="68"/>
      <c r="Z80" s="67" t="s">
        <v>80</v>
      </c>
      <c r="AA80" s="68"/>
      <c r="AB80" s="63" t="s">
        <v>373</v>
      </c>
      <c r="AD80" s="63" t="s">
        <v>374</v>
      </c>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20"/>
      <c r="KO80" s="20"/>
      <c r="KP80" s="20"/>
      <c r="KQ80" s="20"/>
      <c r="KR80" s="20"/>
      <c r="KS80" s="20"/>
      <c r="KT80" s="20"/>
      <c r="KU80" s="20"/>
      <c r="KV80" s="20"/>
      <c r="KW80" s="20"/>
      <c r="KX80" s="20"/>
      <c r="KY80" s="20"/>
      <c r="KZ80" s="20"/>
      <c r="LA80" s="20"/>
      <c r="LB80" s="20"/>
      <c r="LC80" s="20"/>
      <c r="LD80" s="20"/>
      <c r="LE80" s="20"/>
      <c r="LF80" s="20"/>
      <c r="LG80" s="20"/>
      <c r="LH80" s="20"/>
      <c r="LI80" s="20"/>
      <c r="LJ80" s="20"/>
      <c r="LK80" s="20"/>
      <c r="LL80" s="20"/>
      <c r="LM80" s="20"/>
      <c r="LN80" s="20"/>
      <c r="LO80" s="20"/>
      <c r="LP80" s="20"/>
      <c r="LQ80" s="20"/>
      <c r="LR80" s="20"/>
      <c r="LS80" s="20"/>
      <c r="LT80" s="20"/>
      <c r="LU80" s="20"/>
      <c r="LV80" s="20"/>
      <c r="LW80" s="20"/>
      <c r="LX80" s="20"/>
      <c r="LY80" s="20"/>
      <c r="LZ80" s="20"/>
      <c r="MA80" s="20"/>
      <c r="MB80" s="20"/>
      <c r="MC80" s="20"/>
      <c r="MD80" s="20"/>
      <c r="ME80" s="20"/>
      <c r="MF80" s="20"/>
      <c r="MG80" s="20"/>
      <c r="MH80" s="20"/>
      <c r="MI80" s="20"/>
      <c r="MJ80" s="20"/>
      <c r="MK80" s="20"/>
      <c r="ML80" s="20"/>
      <c r="MM80" s="20"/>
      <c r="MN80" s="20"/>
      <c r="MO80" s="20"/>
      <c r="MP80" s="20"/>
      <c r="MQ80" s="20"/>
      <c r="MR80" s="20"/>
      <c r="MS80" s="20"/>
      <c r="MT80" s="20"/>
      <c r="MU80" s="20"/>
      <c r="MV80" s="20"/>
      <c r="MW80" s="20"/>
      <c r="MX80" s="20"/>
      <c r="MY80" s="20"/>
      <c r="MZ80" s="20"/>
      <c r="NA80" s="20"/>
      <c r="NB80" s="20"/>
      <c r="NC80" s="20"/>
      <c r="ND80" s="20"/>
      <c r="NE80" s="20"/>
      <c r="NF80" s="20"/>
      <c r="NG80" s="20"/>
      <c r="NH80" s="20"/>
      <c r="NI80" s="20"/>
      <c r="NJ80" s="20"/>
      <c r="NK80" s="20"/>
      <c r="NL80" s="20"/>
      <c r="NM80" s="20"/>
      <c r="NN80" s="20"/>
      <c r="NO80" s="20"/>
      <c r="NP80" s="20"/>
      <c r="NQ80" s="20"/>
      <c r="NR80" s="20"/>
      <c r="NS80" s="20"/>
      <c r="NT80" s="20"/>
      <c r="NU80" s="20"/>
      <c r="NV80" s="20"/>
      <c r="NW80" s="20"/>
      <c r="NX80" s="20"/>
      <c r="NY80" s="20"/>
      <c r="NZ80" s="20"/>
      <c r="OA80" s="20"/>
      <c r="OB80" s="20"/>
      <c r="OC80" s="20"/>
      <c r="OD80" s="20"/>
      <c r="OE80" s="20"/>
      <c r="OF80" s="20"/>
      <c r="OG80" s="20"/>
      <c r="OH80" s="20"/>
      <c r="OI80" s="20"/>
      <c r="OJ80" s="20"/>
      <c r="OK80" s="20"/>
      <c r="OL80" s="20"/>
      <c r="OM80" s="20"/>
      <c r="ON80" s="20"/>
      <c r="OO80" s="20"/>
      <c r="OP80" s="20"/>
      <c r="OQ80" s="20"/>
      <c r="OR80" s="20"/>
      <c r="OS80" s="20"/>
      <c r="OT80" s="20"/>
      <c r="OU80" s="20"/>
      <c r="OV80" s="20"/>
      <c r="OW80" s="20"/>
      <c r="OX80" s="20"/>
      <c r="OY80" s="20"/>
      <c r="OZ80" s="20"/>
      <c r="PA80" s="20"/>
      <c r="PB80" s="20"/>
      <c r="PC80" s="20"/>
      <c r="PD80" s="20"/>
      <c r="PE80" s="20"/>
      <c r="PF80" s="20"/>
      <c r="PG80" s="20"/>
      <c r="PH80" s="20"/>
      <c r="PI80" s="20"/>
      <c r="PJ80" s="20"/>
      <c r="PK80" s="20"/>
      <c r="PL80" s="20"/>
      <c r="PM80" s="20"/>
      <c r="PN80" s="20"/>
      <c r="PO80" s="20"/>
      <c r="PP80" s="20"/>
      <c r="PQ80" s="20"/>
      <c r="PR80" s="20"/>
      <c r="PS80" s="20"/>
      <c r="PT80" s="20"/>
      <c r="PU80" s="20"/>
      <c r="PV80" s="20"/>
      <c r="PW80" s="20"/>
      <c r="PX80" s="20"/>
      <c r="PY80" s="20"/>
      <c r="PZ80" s="20"/>
      <c r="QA80" s="20"/>
      <c r="QB80" s="20"/>
      <c r="QC80" s="20"/>
      <c r="QD80" s="20"/>
      <c r="QE80" s="20"/>
      <c r="QF80" s="20"/>
      <c r="QG80" s="20"/>
      <c r="QH80" s="20"/>
      <c r="QI80" s="20"/>
      <c r="QJ80" s="20"/>
      <c r="QK80" s="20"/>
      <c r="QL80" s="20"/>
      <c r="QM80" s="20"/>
      <c r="QN80" s="20"/>
      <c r="QO80" s="20"/>
      <c r="QP80" s="20"/>
      <c r="QQ80" s="20"/>
      <c r="QR80" s="20"/>
      <c r="QS80" s="20"/>
      <c r="QT80" s="20"/>
      <c r="QU80" s="20"/>
      <c r="QV80" s="20"/>
      <c r="QW80" s="20"/>
      <c r="QX80" s="20"/>
      <c r="QY80" s="20"/>
      <c r="QZ80" s="20"/>
      <c r="RA80" s="20"/>
      <c r="RB80" s="20"/>
      <c r="RC80" s="20"/>
      <c r="RD80" s="20"/>
      <c r="RE80" s="20"/>
      <c r="RF80" s="20"/>
      <c r="RG80" s="20"/>
      <c r="RH80" s="20"/>
      <c r="RI80" s="20"/>
      <c r="RJ80" s="20"/>
      <c r="RK80" s="20"/>
      <c r="RL80" s="20"/>
      <c r="RM80" s="20"/>
      <c r="RN80" s="20"/>
      <c r="RO80" s="20"/>
      <c r="RP80" s="20"/>
      <c r="RQ80" s="20"/>
      <c r="RR80" s="20"/>
      <c r="RS80" s="20"/>
      <c r="RT80" s="20"/>
      <c r="RU80" s="20"/>
      <c r="RV80" s="20"/>
      <c r="RW80" s="20"/>
      <c r="RX80" s="20"/>
      <c r="RY80" s="20"/>
      <c r="RZ80" s="20"/>
      <c r="SA80" s="20"/>
      <c r="SB80" s="20"/>
      <c r="SC80" s="20"/>
      <c r="SD80" s="20"/>
      <c r="SE80" s="20"/>
      <c r="SF80" s="20"/>
      <c r="SG80" s="20"/>
      <c r="SH80" s="20"/>
      <c r="SI80" s="20"/>
      <c r="SJ80" s="20"/>
      <c r="SK80" s="20"/>
      <c r="SL80" s="20"/>
      <c r="SM80" s="20"/>
      <c r="SN80" s="20"/>
      <c r="SO80" s="20"/>
      <c r="SP80" s="20"/>
      <c r="SQ80" s="20"/>
      <c r="SR80" s="20"/>
      <c r="SS80" s="20"/>
      <c r="ST80" s="20"/>
      <c r="SU80" s="20"/>
      <c r="SV80" s="20"/>
      <c r="SW80" s="20"/>
      <c r="SX80" s="20"/>
      <c r="SY80" s="20"/>
      <c r="SZ80" s="20"/>
      <c r="TA80" s="20"/>
      <c r="TB80" s="20"/>
      <c r="TC80" s="20"/>
      <c r="TD80" s="20"/>
      <c r="TE80" s="20"/>
      <c r="TF80" s="20"/>
      <c r="TG80" s="20"/>
      <c r="TH80" s="20"/>
      <c r="TI80" s="20"/>
      <c r="TJ80" s="20"/>
      <c r="TK80" s="20"/>
      <c r="TL80" s="20"/>
      <c r="TM80" s="20"/>
      <c r="TN80" s="20"/>
      <c r="TO80" s="20"/>
      <c r="TP80" s="20"/>
      <c r="TQ80" s="20"/>
      <c r="TR80" s="20"/>
      <c r="TS80" s="20"/>
      <c r="TT80" s="20"/>
      <c r="TU80" s="20"/>
      <c r="TV80" s="20"/>
      <c r="TW80" s="20"/>
      <c r="TX80" s="20"/>
      <c r="TY80" s="20"/>
      <c r="TZ80" s="20"/>
      <c r="UA80" s="20"/>
      <c r="UB80" s="20"/>
      <c r="UC80" s="20"/>
      <c r="UD80" s="20"/>
      <c r="UE80" s="20"/>
      <c r="UF80" s="20"/>
      <c r="UG80" s="20"/>
      <c r="UH80" s="20"/>
      <c r="UI80" s="20"/>
      <c r="UJ80" s="20"/>
      <c r="UK80" s="20"/>
      <c r="UL80" s="20"/>
      <c r="UM80" s="20"/>
      <c r="UN80" s="20"/>
      <c r="UO80" s="20"/>
      <c r="UP80" s="20"/>
      <c r="UQ80" s="20"/>
      <c r="UR80" s="20"/>
      <c r="US80" s="20"/>
      <c r="UT80" s="20"/>
      <c r="UU80" s="20"/>
      <c r="UV80" s="20"/>
      <c r="UW80" s="20"/>
      <c r="UX80" s="20"/>
      <c r="UY80" s="20"/>
      <c r="UZ80" s="20"/>
      <c r="VA80" s="20"/>
      <c r="VB80" s="20"/>
      <c r="VC80" s="20"/>
      <c r="VD80" s="20"/>
      <c r="VE80" s="20"/>
      <c r="VF80" s="20"/>
      <c r="VG80" s="20"/>
      <c r="VH80" s="20"/>
      <c r="VI80" s="20"/>
      <c r="VJ80" s="20"/>
      <c r="VK80" s="20"/>
      <c r="VL80" s="20"/>
      <c r="VM80" s="20"/>
      <c r="VN80" s="20"/>
      <c r="VO80" s="20"/>
      <c r="VP80" s="20"/>
      <c r="VQ80" s="20"/>
      <c r="VR80" s="20"/>
      <c r="VS80" s="20"/>
      <c r="VT80" s="20"/>
      <c r="VU80" s="20"/>
      <c r="VV80" s="20"/>
      <c r="VW80" s="20"/>
      <c r="VX80" s="20"/>
      <c r="VY80" s="20"/>
      <c r="VZ80" s="20"/>
      <c r="WA80" s="20"/>
      <c r="WB80" s="20"/>
      <c r="WC80" s="20"/>
      <c r="WD80" s="20"/>
      <c r="WE80" s="20"/>
      <c r="WF80" s="20"/>
      <c r="WG80" s="20"/>
      <c r="WH80" s="20"/>
      <c r="WI80" s="20"/>
      <c r="WJ80" s="20"/>
      <c r="WK80" s="20"/>
      <c r="WL80" s="20"/>
      <c r="WM80" s="20"/>
      <c r="WN80" s="20"/>
      <c r="WO80" s="20"/>
      <c r="WP80" s="20"/>
      <c r="WQ80" s="20"/>
      <c r="WR80" s="20"/>
      <c r="WS80" s="20"/>
      <c r="WT80" s="20"/>
      <c r="WU80" s="20"/>
      <c r="WV80" s="20"/>
      <c r="WW80" s="20"/>
      <c r="WX80" s="20"/>
      <c r="WY80" s="20"/>
      <c r="WZ80" s="20"/>
      <c r="XA80" s="20"/>
      <c r="XB80" s="20"/>
      <c r="XC80" s="20"/>
      <c r="XD80" s="20"/>
      <c r="XE80" s="20"/>
      <c r="XF80" s="20"/>
      <c r="XG80" s="20"/>
      <c r="XH80" s="20"/>
      <c r="XI80" s="20"/>
      <c r="XJ80" s="20"/>
      <c r="XK80" s="20"/>
      <c r="XL80" s="20"/>
      <c r="XM80" s="20"/>
      <c r="XN80" s="20"/>
      <c r="XO80" s="20"/>
      <c r="XP80" s="20"/>
      <c r="XQ80" s="20"/>
      <c r="XR80" s="20"/>
      <c r="XS80" s="20"/>
      <c r="XT80" s="20"/>
      <c r="XU80" s="20"/>
      <c r="XV80" s="20"/>
      <c r="XW80" s="20"/>
      <c r="XX80" s="20"/>
      <c r="XY80" s="20"/>
      <c r="XZ80" s="20"/>
      <c r="YA80" s="20"/>
      <c r="YB80" s="20"/>
      <c r="YC80" s="20"/>
      <c r="YD80" s="20"/>
      <c r="YE80" s="20"/>
      <c r="YF80" s="20"/>
      <c r="YG80" s="20"/>
      <c r="YH80" s="20"/>
      <c r="YI80" s="20"/>
      <c r="YJ80" s="20"/>
      <c r="YK80" s="20"/>
      <c r="YL80" s="20"/>
      <c r="YM80" s="20"/>
      <c r="YN80" s="20"/>
      <c r="YO80" s="20"/>
      <c r="YP80" s="20"/>
      <c r="YQ80" s="20"/>
      <c r="YR80" s="20"/>
      <c r="YS80" s="20"/>
      <c r="YT80" s="20"/>
      <c r="YU80" s="20"/>
      <c r="YV80" s="20"/>
      <c r="YW80" s="20"/>
      <c r="YX80" s="20"/>
      <c r="YY80" s="20"/>
      <c r="YZ80" s="20"/>
      <c r="ZA80" s="20"/>
      <c r="ZB80" s="20"/>
      <c r="ZC80" s="20"/>
      <c r="ZD80" s="20"/>
      <c r="ZE80" s="20"/>
      <c r="ZF80" s="20"/>
      <c r="ZG80" s="20"/>
      <c r="ZH80" s="20"/>
      <c r="ZI80" s="20"/>
      <c r="ZJ80" s="20"/>
      <c r="ZK80" s="20"/>
      <c r="ZL80" s="20"/>
      <c r="ZM80" s="20"/>
      <c r="ZN80" s="20"/>
      <c r="ZO80" s="20"/>
      <c r="ZP80" s="20"/>
      <c r="ZQ80" s="20"/>
      <c r="ZR80" s="20"/>
      <c r="ZS80" s="20"/>
      <c r="ZT80" s="20"/>
      <c r="ZU80" s="20"/>
      <c r="ZV80" s="20"/>
      <c r="ZW80" s="20"/>
      <c r="ZX80" s="20"/>
      <c r="ZY80" s="20"/>
      <c r="ZZ80" s="20"/>
      <c r="AAA80" s="20"/>
      <c r="AAB80" s="20"/>
      <c r="AAC80" s="20"/>
      <c r="AAD80" s="20"/>
      <c r="AAE80" s="20"/>
      <c r="AAF80" s="20"/>
      <c r="AAG80" s="20"/>
      <c r="AAH80" s="20"/>
      <c r="AAI80" s="20"/>
      <c r="AAJ80" s="20"/>
      <c r="AAK80" s="20"/>
      <c r="AAL80" s="20"/>
      <c r="AAM80" s="20"/>
      <c r="AAN80" s="20"/>
      <c r="AAO80" s="20"/>
      <c r="AAP80" s="20"/>
      <c r="AAQ80" s="20"/>
      <c r="AAR80" s="20"/>
      <c r="AAS80" s="20"/>
      <c r="AAT80" s="20"/>
      <c r="AAU80" s="20"/>
      <c r="AAV80" s="20"/>
      <c r="AAW80" s="20"/>
      <c r="AAX80" s="20"/>
      <c r="AAY80" s="20"/>
      <c r="AAZ80" s="20"/>
      <c r="ABA80" s="20"/>
      <c r="ABB80" s="20"/>
      <c r="ABC80" s="20"/>
      <c r="ABD80" s="20"/>
      <c r="ABE80" s="20"/>
      <c r="ABF80" s="20"/>
      <c r="ABG80" s="20"/>
      <c r="ABH80" s="20"/>
      <c r="ABI80" s="20"/>
      <c r="ABJ80" s="20"/>
      <c r="ABK80" s="20"/>
      <c r="ABL80" s="20"/>
      <c r="ABM80" s="20"/>
      <c r="ABN80" s="20"/>
      <c r="ABO80" s="20"/>
      <c r="ABP80" s="20"/>
      <c r="ABQ80" s="20"/>
      <c r="ABR80" s="20"/>
      <c r="ABS80" s="20"/>
      <c r="ABT80" s="20"/>
      <c r="ABU80" s="20"/>
      <c r="ABV80" s="20"/>
      <c r="ABW80" s="20"/>
      <c r="ABX80" s="20"/>
      <c r="ABY80" s="20"/>
      <c r="ABZ80" s="20"/>
      <c r="ACA80" s="20"/>
      <c r="ACB80" s="20"/>
      <c r="ACC80" s="20"/>
      <c r="ACD80" s="20"/>
      <c r="ACE80" s="20"/>
      <c r="ACF80" s="20"/>
      <c r="ACG80" s="20"/>
      <c r="ACH80" s="20"/>
      <c r="ACI80" s="20"/>
      <c r="ACJ80" s="20"/>
      <c r="ACK80" s="20"/>
      <c r="ACL80" s="20"/>
      <c r="ACM80" s="20"/>
      <c r="ACN80" s="20"/>
      <c r="ACO80" s="20"/>
      <c r="ACP80" s="20"/>
      <c r="ACQ80" s="20"/>
    </row>
    <row r="81" spans="1:771" s="62" customFormat="1" ht="51.95" customHeight="1">
      <c r="A81" s="20"/>
      <c r="B81" s="61" t="s">
        <v>375</v>
      </c>
      <c r="D81" s="61" t="s">
        <v>370</v>
      </c>
      <c r="F81" s="63" t="s">
        <v>370</v>
      </c>
      <c r="H81" s="61" t="s">
        <v>291</v>
      </c>
      <c r="J81" s="61" t="s">
        <v>365</v>
      </c>
      <c r="L81" s="61" t="s">
        <v>74</v>
      </c>
      <c r="N81" s="61" t="s">
        <v>185</v>
      </c>
      <c r="P81" s="61" t="s">
        <v>376</v>
      </c>
      <c r="R81" s="63" t="s">
        <v>77</v>
      </c>
      <c r="T81" s="73" t="s">
        <v>265</v>
      </c>
      <c r="U81" s="66"/>
      <c r="V81" s="67" t="s">
        <v>79</v>
      </c>
      <c r="W81" s="68"/>
      <c r="X81" s="67" t="s">
        <v>80</v>
      </c>
      <c r="Y81" s="68"/>
      <c r="Z81" s="198" t="s">
        <v>80</v>
      </c>
      <c r="AA81" s="68"/>
      <c r="AB81" s="67" t="s">
        <v>80</v>
      </c>
      <c r="AD81" s="63" t="s">
        <v>377</v>
      </c>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c r="JS81" s="20"/>
      <c r="JT81" s="20"/>
      <c r="JU81" s="20"/>
      <c r="JV81" s="20"/>
      <c r="JW81" s="20"/>
      <c r="JX81" s="20"/>
      <c r="JY81" s="20"/>
      <c r="JZ81" s="20"/>
      <c r="KA81" s="20"/>
      <c r="KB81" s="20"/>
      <c r="KC81" s="20"/>
      <c r="KD81" s="20"/>
      <c r="KE81" s="20"/>
      <c r="KF81" s="20"/>
      <c r="KG81" s="20"/>
      <c r="KH81" s="20"/>
      <c r="KI81" s="20"/>
      <c r="KJ81" s="20"/>
      <c r="KK81" s="20"/>
      <c r="KL81" s="20"/>
      <c r="KM81" s="20"/>
      <c r="KN81" s="20"/>
      <c r="KO81" s="20"/>
      <c r="KP81" s="20"/>
      <c r="KQ81" s="20"/>
      <c r="KR81" s="20"/>
      <c r="KS81" s="20"/>
      <c r="KT81" s="20"/>
      <c r="KU81" s="20"/>
      <c r="KV81" s="20"/>
      <c r="KW81" s="20"/>
      <c r="KX81" s="20"/>
      <c r="KY81" s="20"/>
      <c r="KZ81" s="20"/>
      <c r="LA81" s="20"/>
      <c r="LB81" s="20"/>
      <c r="LC81" s="20"/>
      <c r="LD81" s="20"/>
      <c r="LE81" s="20"/>
      <c r="LF81" s="20"/>
      <c r="LG81" s="20"/>
      <c r="LH81" s="20"/>
      <c r="LI81" s="20"/>
      <c r="LJ81" s="20"/>
      <c r="LK81" s="20"/>
      <c r="LL81" s="20"/>
      <c r="LM81" s="20"/>
      <c r="LN81" s="20"/>
      <c r="LO81" s="20"/>
      <c r="LP81" s="20"/>
      <c r="LQ81" s="20"/>
      <c r="LR81" s="20"/>
      <c r="LS81" s="20"/>
      <c r="LT81" s="20"/>
      <c r="LU81" s="20"/>
      <c r="LV81" s="20"/>
      <c r="LW81" s="20"/>
      <c r="LX81" s="20"/>
      <c r="LY81" s="20"/>
      <c r="LZ81" s="20"/>
      <c r="MA81" s="20"/>
      <c r="MB81" s="20"/>
      <c r="MC81" s="20"/>
      <c r="MD81" s="20"/>
      <c r="ME81" s="20"/>
      <c r="MF81" s="20"/>
      <c r="MG81" s="20"/>
      <c r="MH81" s="20"/>
      <c r="MI81" s="20"/>
      <c r="MJ81" s="20"/>
      <c r="MK81" s="20"/>
      <c r="ML81" s="20"/>
      <c r="MM81" s="20"/>
      <c r="MN81" s="20"/>
      <c r="MO81" s="20"/>
      <c r="MP81" s="20"/>
      <c r="MQ81" s="20"/>
      <c r="MR81" s="20"/>
      <c r="MS81" s="20"/>
      <c r="MT81" s="20"/>
      <c r="MU81" s="20"/>
      <c r="MV81" s="20"/>
      <c r="MW81" s="20"/>
      <c r="MX81" s="20"/>
      <c r="MY81" s="20"/>
      <c r="MZ81" s="20"/>
      <c r="NA81" s="20"/>
      <c r="NB81" s="20"/>
      <c r="NC81" s="20"/>
      <c r="ND81" s="20"/>
      <c r="NE81" s="20"/>
      <c r="NF81" s="20"/>
      <c r="NG81" s="20"/>
      <c r="NH81" s="20"/>
      <c r="NI81" s="20"/>
      <c r="NJ81" s="20"/>
      <c r="NK81" s="20"/>
      <c r="NL81" s="20"/>
      <c r="NM81" s="20"/>
      <c r="NN81" s="20"/>
      <c r="NO81" s="20"/>
      <c r="NP81" s="20"/>
      <c r="NQ81" s="20"/>
      <c r="NR81" s="20"/>
      <c r="NS81" s="20"/>
      <c r="NT81" s="20"/>
      <c r="NU81" s="20"/>
      <c r="NV81" s="20"/>
      <c r="NW81" s="20"/>
      <c r="NX81" s="20"/>
      <c r="NY81" s="20"/>
      <c r="NZ81" s="20"/>
      <c r="OA81" s="20"/>
      <c r="OB81" s="20"/>
      <c r="OC81" s="20"/>
      <c r="OD81" s="20"/>
      <c r="OE81" s="20"/>
      <c r="OF81" s="20"/>
      <c r="OG81" s="20"/>
      <c r="OH81" s="20"/>
      <c r="OI81" s="20"/>
      <c r="OJ81" s="20"/>
      <c r="OK81" s="20"/>
      <c r="OL81" s="20"/>
      <c r="OM81" s="20"/>
      <c r="ON81" s="20"/>
      <c r="OO81" s="20"/>
      <c r="OP81" s="20"/>
      <c r="OQ81" s="20"/>
      <c r="OR81" s="20"/>
      <c r="OS81" s="20"/>
      <c r="OT81" s="20"/>
      <c r="OU81" s="20"/>
      <c r="OV81" s="20"/>
      <c r="OW81" s="20"/>
      <c r="OX81" s="20"/>
      <c r="OY81" s="20"/>
      <c r="OZ81" s="20"/>
      <c r="PA81" s="20"/>
      <c r="PB81" s="20"/>
      <c r="PC81" s="20"/>
      <c r="PD81" s="20"/>
      <c r="PE81" s="20"/>
      <c r="PF81" s="20"/>
      <c r="PG81" s="20"/>
      <c r="PH81" s="20"/>
      <c r="PI81" s="20"/>
      <c r="PJ81" s="20"/>
      <c r="PK81" s="20"/>
      <c r="PL81" s="20"/>
      <c r="PM81" s="20"/>
      <c r="PN81" s="20"/>
      <c r="PO81" s="20"/>
      <c r="PP81" s="20"/>
      <c r="PQ81" s="20"/>
      <c r="PR81" s="20"/>
      <c r="PS81" s="20"/>
      <c r="PT81" s="20"/>
      <c r="PU81" s="20"/>
      <c r="PV81" s="20"/>
      <c r="PW81" s="20"/>
      <c r="PX81" s="20"/>
      <c r="PY81" s="20"/>
      <c r="PZ81" s="20"/>
      <c r="QA81" s="20"/>
      <c r="QB81" s="20"/>
      <c r="QC81" s="20"/>
      <c r="QD81" s="20"/>
      <c r="QE81" s="20"/>
      <c r="QF81" s="20"/>
      <c r="QG81" s="20"/>
      <c r="QH81" s="20"/>
      <c r="QI81" s="20"/>
      <c r="QJ81" s="20"/>
      <c r="QK81" s="20"/>
      <c r="QL81" s="20"/>
      <c r="QM81" s="20"/>
      <c r="QN81" s="20"/>
      <c r="QO81" s="20"/>
      <c r="QP81" s="20"/>
      <c r="QQ81" s="20"/>
      <c r="QR81" s="20"/>
      <c r="QS81" s="20"/>
      <c r="QT81" s="20"/>
      <c r="QU81" s="20"/>
      <c r="QV81" s="20"/>
      <c r="QW81" s="20"/>
      <c r="QX81" s="20"/>
      <c r="QY81" s="20"/>
      <c r="QZ81" s="20"/>
      <c r="RA81" s="20"/>
      <c r="RB81" s="20"/>
      <c r="RC81" s="20"/>
      <c r="RD81" s="20"/>
      <c r="RE81" s="20"/>
      <c r="RF81" s="20"/>
      <c r="RG81" s="20"/>
      <c r="RH81" s="20"/>
      <c r="RI81" s="20"/>
      <c r="RJ81" s="20"/>
      <c r="RK81" s="20"/>
      <c r="RL81" s="20"/>
      <c r="RM81" s="20"/>
      <c r="RN81" s="20"/>
      <c r="RO81" s="20"/>
      <c r="RP81" s="20"/>
      <c r="RQ81" s="20"/>
      <c r="RR81" s="20"/>
      <c r="RS81" s="20"/>
      <c r="RT81" s="20"/>
      <c r="RU81" s="20"/>
      <c r="RV81" s="20"/>
      <c r="RW81" s="20"/>
      <c r="RX81" s="20"/>
      <c r="RY81" s="20"/>
      <c r="RZ81" s="20"/>
      <c r="SA81" s="20"/>
      <c r="SB81" s="20"/>
      <c r="SC81" s="20"/>
      <c r="SD81" s="20"/>
      <c r="SE81" s="20"/>
      <c r="SF81" s="20"/>
      <c r="SG81" s="20"/>
      <c r="SH81" s="20"/>
      <c r="SI81" s="20"/>
      <c r="SJ81" s="20"/>
      <c r="SK81" s="20"/>
      <c r="SL81" s="20"/>
      <c r="SM81" s="20"/>
      <c r="SN81" s="20"/>
      <c r="SO81" s="20"/>
      <c r="SP81" s="20"/>
      <c r="SQ81" s="20"/>
      <c r="SR81" s="20"/>
      <c r="SS81" s="20"/>
      <c r="ST81" s="20"/>
      <c r="SU81" s="20"/>
      <c r="SV81" s="20"/>
      <c r="SW81" s="20"/>
      <c r="SX81" s="20"/>
      <c r="SY81" s="20"/>
      <c r="SZ81" s="20"/>
      <c r="TA81" s="20"/>
      <c r="TB81" s="20"/>
      <c r="TC81" s="20"/>
      <c r="TD81" s="20"/>
      <c r="TE81" s="20"/>
      <c r="TF81" s="20"/>
      <c r="TG81" s="20"/>
      <c r="TH81" s="20"/>
      <c r="TI81" s="20"/>
      <c r="TJ81" s="20"/>
      <c r="TK81" s="20"/>
      <c r="TL81" s="20"/>
      <c r="TM81" s="20"/>
      <c r="TN81" s="20"/>
      <c r="TO81" s="20"/>
      <c r="TP81" s="20"/>
      <c r="TQ81" s="20"/>
      <c r="TR81" s="20"/>
      <c r="TS81" s="20"/>
      <c r="TT81" s="20"/>
      <c r="TU81" s="20"/>
      <c r="TV81" s="20"/>
      <c r="TW81" s="20"/>
      <c r="TX81" s="20"/>
      <c r="TY81" s="20"/>
      <c r="TZ81" s="20"/>
      <c r="UA81" s="20"/>
      <c r="UB81" s="20"/>
      <c r="UC81" s="20"/>
      <c r="UD81" s="20"/>
      <c r="UE81" s="20"/>
      <c r="UF81" s="20"/>
      <c r="UG81" s="20"/>
      <c r="UH81" s="20"/>
      <c r="UI81" s="20"/>
      <c r="UJ81" s="20"/>
      <c r="UK81" s="20"/>
      <c r="UL81" s="20"/>
      <c r="UM81" s="20"/>
      <c r="UN81" s="20"/>
      <c r="UO81" s="20"/>
      <c r="UP81" s="20"/>
      <c r="UQ81" s="20"/>
      <c r="UR81" s="20"/>
      <c r="US81" s="20"/>
      <c r="UT81" s="20"/>
      <c r="UU81" s="20"/>
      <c r="UV81" s="20"/>
      <c r="UW81" s="20"/>
      <c r="UX81" s="20"/>
      <c r="UY81" s="20"/>
      <c r="UZ81" s="20"/>
      <c r="VA81" s="20"/>
      <c r="VB81" s="20"/>
      <c r="VC81" s="20"/>
      <c r="VD81" s="20"/>
      <c r="VE81" s="20"/>
      <c r="VF81" s="20"/>
      <c r="VG81" s="20"/>
      <c r="VH81" s="20"/>
      <c r="VI81" s="20"/>
      <c r="VJ81" s="20"/>
      <c r="VK81" s="20"/>
      <c r="VL81" s="20"/>
      <c r="VM81" s="20"/>
      <c r="VN81" s="20"/>
      <c r="VO81" s="20"/>
      <c r="VP81" s="20"/>
      <c r="VQ81" s="20"/>
      <c r="VR81" s="20"/>
      <c r="VS81" s="20"/>
      <c r="VT81" s="20"/>
      <c r="VU81" s="20"/>
      <c r="VV81" s="20"/>
      <c r="VW81" s="20"/>
      <c r="VX81" s="20"/>
      <c r="VY81" s="20"/>
      <c r="VZ81" s="20"/>
      <c r="WA81" s="20"/>
      <c r="WB81" s="20"/>
      <c r="WC81" s="20"/>
      <c r="WD81" s="20"/>
      <c r="WE81" s="20"/>
      <c r="WF81" s="20"/>
      <c r="WG81" s="20"/>
      <c r="WH81" s="20"/>
      <c r="WI81" s="20"/>
      <c r="WJ81" s="20"/>
      <c r="WK81" s="20"/>
      <c r="WL81" s="20"/>
      <c r="WM81" s="20"/>
      <c r="WN81" s="20"/>
      <c r="WO81" s="20"/>
      <c r="WP81" s="20"/>
      <c r="WQ81" s="20"/>
      <c r="WR81" s="20"/>
      <c r="WS81" s="20"/>
      <c r="WT81" s="20"/>
      <c r="WU81" s="20"/>
      <c r="WV81" s="20"/>
      <c r="WW81" s="20"/>
      <c r="WX81" s="20"/>
      <c r="WY81" s="20"/>
      <c r="WZ81" s="20"/>
      <c r="XA81" s="20"/>
      <c r="XB81" s="20"/>
      <c r="XC81" s="20"/>
      <c r="XD81" s="20"/>
      <c r="XE81" s="20"/>
      <c r="XF81" s="20"/>
      <c r="XG81" s="20"/>
      <c r="XH81" s="20"/>
      <c r="XI81" s="20"/>
      <c r="XJ81" s="20"/>
      <c r="XK81" s="20"/>
      <c r="XL81" s="20"/>
      <c r="XM81" s="20"/>
      <c r="XN81" s="20"/>
      <c r="XO81" s="20"/>
      <c r="XP81" s="20"/>
      <c r="XQ81" s="20"/>
      <c r="XR81" s="20"/>
      <c r="XS81" s="20"/>
      <c r="XT81" s="20"/>
      <c r="XU81" s="20"/>
      <c r="XV81" s="20"/>
      <c r="XW81" s="20"/>
      <c r="XX81" s="20"/>
      <c r="XY81" s="20"/>
      <c r="XZ81" s="20"/>
      <c r="YA81" s="20"/>
      <c r="YB81" s="20"/>
      <c r="YC81" s="20"/>
      <c r="YD81" s="20"/>
      <c r="YE81" s="20"/>
      <c r="YF81" s="20"/>
      <c r="YG81" s="20"/>
      <c r="YH81" s="20"/>
      <c r="YI81" s="20"/>
      <c r="YJ81" s="20"/>
      <c r="YK81" s="20"/>
      <c r="YL81" s="20"/>
      <c r="YM81" s="20"/>
      <c r="YN81" s="20"/>
      <c r="YO81" s="20"/>
      <c r="YP81" s="20"/>
      <c r="YQ81" s="20"/>
      <c r="YR81" s="20"/>
      <c r="YS81" s="20"/>
      <c r="YT81" s="20"/>
      <c r="YU81" s="20"/>
      <c r="YV81" s="20"/>
      <c r="YW81" s="20"/>
      <c r="YX81" s="20"/>
      <c r="YY81" s="20"/>
      <c r="YZ81" s="20"/>
      <c r="ZA81" s="20"/>
      <c r="ZB81" s="20"/>
      <c r="ZC81" s="20"/>
      <c r="ZD81" s="20"/>
      <c r="ZE81" s="20"/>
      <c r="ZF81" s="20"/>
      <c r="ZG81" s="20"/>
      <c r="ZH81" s="20"/>
      <c r="ZI81" s="20"/>
      <c r="ZJ81" s="20"/>
      <c r="ZK81" s="20"/>
      <c r="ZL81" s="20"/>
      <c r="ZM81" s="20"/>
      <c r="ZN81" s="20"/>
      <c r="ZO81" s="20"/>
      <c r="ZP81" s="20"/>
      <c r="ZQ81" s="20"/>
      <c r="ZR81" s="20"/>
      <c r="ZS81" s="20"/>
      <c r="ZT81" s="20"/>
      <c r="ZU81" s="20"/>
      <c r="ZV81" s="20"/>
      <c r="ZW81" s="20"/>
      <c r="ZX81" s="20"/>
      <c r="ZY81" s="20"/>
      <c r="ZZ81" s="20"/>
      <c r="AAA81" s="20"/>
      <c r="AAB81" s="20"/>
      <c r="AAC81" s="20"/>
      <c r="AAD81" s="20"/>
      <c r="AAE81" s="20"/>
      <c r="AAF81" s="20"/>
      <c r="AAG81" s="20"/>
      <c r="AAH81" s="20"/>
      <c r="AAI81" s="20"/>
      <c r="AAJ81" s="20"/>
      <c r="AAK81" s="20"/>
      <c r="AAL81" s="20"/>
      <c r="AAM81" s="20"/>
      <c r="AAN81" s="20"/>
      <c r="AAO81" s="20"/>
      <c r="AAP81" s="20"/>
      <c r="AAQ81" s="20"/>
      <c r="AAR81" s="20"/>
      <c r="AAS81" s="20"/>
      <c r="AAT81" s="20"/>
      <c r="AAU81" s="20"/>
      <c r="AAV81" s="20"/>
      <c r="AAW81" s="20"/>
      <c r="AAX81" s="20"/>
      <c r="AAY81" s="20"/>
      <c r="AAZ81" s="20"/>
      <c r="ABA81" s="20"/>
      <c r="ABB81" s="20"/>
      <c r="ABC81" s="20"/>
      <c r="ABD81" s="20"/>
      <c r="ABE81" s="20"/>
      <c r="ABF81" s="20"/>
      <c r="ABG81" s="20"/>
      <c r="ABH81" s="20"/>
      <c r="ABI81" s="20"/>
      <c r="ABJ81" s="20"/>
      <c r="ABK81" s="20"/>
      <c r="ABL81" s="20"/>
      <c r="ABM81" s="20"/>
      <c r="ABN81" s="20"/>
      <c r="ABO81" s="20"/>
      <c r="ABP81" s="20"/>
      <c r="ABQ81" s="20"/>
      <c r="ABR81" s="20"/>
      <c r="ABS81" s="20"/>
      <c r="ABT81" s="20"/>
      <c r="ABU81" s="20"/>
      <c r="ABV81" s="20"/>
      <c r="ABW81" s="20"/>
      <c r="ABX81" s="20"/>
      <c r="ABY81" s="20"/>
      <c r="ABZ81" s="20"/>
      <c r="ACA81" s="20"/>
      <c r="ACB81" s="20"/>
      <c r="ACC81" s="20"/>
      <c r="ACD81" s="20"/>
      <c r="ACE81" s="20"/>
      <c r="ACF81" s="20"/>
      <c r="ACG81" s="20"/>
      <c r="ACH81" s="20"/>
      <c r="ACI81" s="20"/>
      <c r="ACJ81" s="20"/>
      <c r="ACK81" s="20"/>
      <c r="ACL81" s="20"/>
      <c r="ACM81" s="20"/>
      <c r="ACN81" s="20"/>
      <c r="ACO81" s="20"/>
      <c r="ACP81" s="20"/>
      <c r="ACQ81" s="20"/>
    </row>
    <row r="82" spans="1:771" s="62" customFormat="1" ht="48.95" customHeight="1">
      <c r="A82" s="20"/>
      <c r="B82" s="61" t="s">
        <v>375</v>
      </c>
      <c r="D82" s="61" t="s">
        <v>362</v>
      </c>
      <c r="F82" s="63" t="s">
        <v>363</v>
      </c>
      <c r="H82" s="61" t="s">
        <v>291</v>
      </c>
      <c r="J82" s="61" t="s">
        <v>365</v>
      </c>
      <c r="L82" s="61" t="s">
        <v>74</v>
      </c>
      <c r="N82" s="61" t="s">
        <v>185</v>
      </c>
      <c r="P82" s="61" t="s">
        <v>376</v>
      </c>
      <c r="R82" s="63" t="s">
        <v>77</v>
      </c>
      <c r="T82" s="73" t="s">
        <v>265</v>
      </c>
      <c r="U82" s="66"/>
      <c r="V82" s="67" t="s">
        <v>79</v>
      </c>
      <c r="W82" s="68"/>
      <c r="X82" s="67" t="s">
        <v>80</v>
      </c>
      <c r="Y82" s="68"/>
      <c r="Z82" s="67" t="s">
        <v>80</v>
      </c>
      <c r="AA82" s="68"/>
      <c r="AB82" s="67" t="s">
        <v>80</v>
      </c>
      <c r="AD82" s="63" t="s">
        <v>377</v>
      </c>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0"/>
      <c r="NH82" s="20"/>
      <c r="NI82" s="20"/>
      <c r="NJ82" s="20"/>
      <c r="NK82" s="20"/>
      <c r="NL82" s="20"/>
      <c r="NM82" s="20"/>
      <c r="NN82" s="20"/>
      <c r="NO82" s="20"/>
      <c r="NP82" s="20"/>
      <c r="NQ82" s="20"/>
      <c r="NR82" s="20"/>
      <c r="NS82" s="20"/>
      <c r="NT82" s="20"/>
      <c r="NU82" s="20"/>
      <c r="NV82" s="20"/>
      <c r="NW82" s="20"/>
      <c r="NX82" s="20"/>
      <c r="NY82" s="20"/>
      <c r="NZ82" s="20"/>
      <c r="OA82" s="20"/>
      <c r="OB82" s="20"/>
      <c r="OC82" s="20"/>
      <c r="OD82" s="20"/>
      <c r="OE82" s="20"/>
      <c r="OF82" s="20"/>
      <c r="OG82" s="20"/>
      <c r="OH82" s="20"/>
      <c r="OI82" s="20"/>
      <c r="OJ82" s="20"/>
      <c r="OK82" s="20"/>
      <c r="OL82" s="20"/>
      <c r="OM82" s="20"/>
      <c r="ON82" s="20"/>
      <c r="OO82" s="20"/>
      <c r="OP82" s="20"/>
      <c r="OQ82" s="20"/>
      <c r="OR82" s="20"/>
      <c r="OS82" s="20"/>
      <c r="OT82" s="20"/>
      <c r="OU82" s="20"/>
      <c r="OV82" s="20"/>
      <c r="OW82" s="20"/>
      <c r="OX82" s="20"/>
      <c r="OY82" s="20"/>
      <c r="OZ82" s="20"/>
      <c r="PA82" s="20"/>
      <c r="PB82" s="20"/>
      <c r="PC82" s="20"/>
      <c r="PD82" s="20"/>
      <c r="PE82" s="20"/>
      <c r="PF82" s="20"/>
      <c r="PG82" s="20"/>
      <c r="PH82" s="20"/>
      <c r="PI82" s="20"/>
      <c r="PJ82" s="20"/>
      <c r="PK82" s="20"/>
      <c r="PL82" s="20"/>
      <c r="PM82" s="20"/>
      <c r="PN82" s="20"/>
      <c r="PO82" s="20"/>
      <c r="PP82" s="20"/>
      <c r="PQ82" s="20"/>
      <c r="PR82" s="20"/>
      <c r="PS82" s="20"/>
      <c r="PT82" s="20"/>
      <c r="PU82" s="20"/>
      <c r="PV82" s="20"/>
      <c r="PW82" s="20"/>
      <c r="PX82" s="20"/>
      <c r="PY82" s="20"/>
      <c r="PZ82" s="20"/>
      <c r="QA82" s="20"/>
      <c r="QB82" s="20"/>
      <c r="QC82" s="20"/>
      <c r="QD82" s="20"/>
      <c r="QE82" s="20"/>
      <c r="QF82" s="20"/>
      <c r="QG82" s="20"/>
      <c r="QH82" s="20"/>
      <c r="QI82" s="20"/>
      <c r="QJ82" s="20"/>
      <c r="QK82" s="20"/>
      <c r="QL82" s="20"/>
      <c r="QM82" s="20"/>
      <c r="QN82" s="20"/>
      <c r="QO82" s="20"/>
      <c r="QP82" s="20"/>
      <c r="QQ82" s="20"/>
      <c r="QR82" s="20"/>
      <c r="QS82" s="20"/>
      <c r="QT82" s="20"/>
      <c r="QU82" s="20"/>
      <c r="QV82" s="20"/>
      <c r="QW82" s="20"/>
      <c r="QX82" s="20"/>
      <c r="QY82" s="20"/>
      <c r="QZ82" s="20"/>
      <c r="RA82" s="20"/>
      <c r="RB82" s="20"/>
      <c r="RC82" s="20"/>
      <c r="RD82" s="20"/>
      <c r="RE82" s="20"/>
      <c r="RF82" s="20"/>
      <c r="RG82" s="20"/>
      <c r="RH82" s="20"/>
      <c r="RI82" s="20"/>
      <c r="RJ82" s="20"/>
      <c r="RK82" s="20"/>
      <c r="RL82" s="20"/>
      <c r="RM82" s="20"/>
      <c r="RN82" s="20"/>
      <c r="RO82" s="20"/>
      <c r="RP82" s="20"/>
      <c r="RQ82" s="20"/>
      <c r="RR82" s="20"/>
      <c r="RS82" s="20"/>
      <c r="RT82" s="20"/>
      <c r="RU82" s="20"/>
      <c r="RV82" s="20"/>
      <c r="RW82" s="20"/>
      <c r="RX82" s="20"/>
      <c r="RY82" s="20"/>
      <c r="RZ82" s="20"/>
      <c r="SA82" s="20"/>
      <c r="SB82" s="20"/>
      <c r="SC82" s="20"/>
      <c r="SD82" s="20"/>
      <c r="SE82" s="20"/>
      <c r="SF82" s="20"/>
      <c r="SG82" s="20"/>
      <c r="SH82" s="20"/>
      <c r="SI82" s="20"/>
      <c r="SJ82" s="20"/>
      <c r="SK82" s="20"/>
      <c r="SL82" s="20"/>
      <c r="SM82" s="20"/>
      <c r="SN82" s="20"/>
      <c r="SO82" s="20"/>
      <c r="SP82" s="20"/>
      <c r="SQ82" s="20"/>
      <c r="SR82" s="20"/>
      <c r="SS82" s="20"/>
      <c r="ST82" s="20"/>
      <c r="SU82" s="20"/>
      <c r="SV82" s="20"/>
      <c r="SW82" s="20"/>
      <c r="SX82" s="20"/>
      <c r="SY82" s="20"/>
      <c r="SZ82" s="20"/>
      <c r="TA82" s="20"/>
      <c r="TB82" s="20"/>
      <c r="TC82" s="20"/>
      <c r="TD82" s="20"/>
      <c r="TE82" s="20"/>
      <c r="TF82" s="20"/>
      <c r="TG82" s="20"/>
      <c r="TH82" s="20"/>
      <c r="TI82" s="20"/>
      <c r="TJ82" s="20"/>
      <c r="TK82" s="20"/>
      <c r="TL82" s="20"/>
      <c r="TM82" s="20"/>
      <c r="TN82" s="20"/>
      <c r="TO82" s="20"/>
      <c r="TP82" s="20"/>
      <c r="TQ82" s="20"/>
      <c r="TR82" s="20"/>
      <c r="TS82" s="20"/>
      <c r="TT82" s="20"/>
      <c r="TU82" s="20"/>
      <c r="TV82" s="20"/>
      <c r="TW82" s="20"/>
      <c r="TX82" s="20"/>
      <c r="TY82" s="20"/>
      <c r="TZ82" s="20"/>
      <c r="UA82" s="20"/>
      <c r="UB82" s="20"/>
      <c r="UC82" s="20"/>
      <c r="UD82" s="20"/>
      <c r="UE82" s="20"/>
      <c r="UF82" s="20"/>
      <c r="UG82" s="20"/>
      <c r="UH82" s="20"/>
      <c r="UI82" s="20"/>
      <c r="UJ82" s="20"/>
      <c r="UK82" s="20"/>
      <c r="UL82" s="20"/>
      <c r="UM82" s="20"/>
      <c r="UN82" s="20"/>
      <c r="UO82" s="20"/>
      <c r="UP82" s="20"/>
      <c r="UQ82" s="20"/>
      <c r="UR82" s="20"/>
      <c r="US82" s="20"/>
      <c r="UT82" s="20"/>
      <c r="UU82" s="20"/>
      <c r="UV82" s="20"/>
      <c r="UW82" s="20"/>
      <c r="UX82" s="20"/>
      <c r="UY82" s="20"/>
      <c r="UZ82" s="20"/>
      <c r="VA82" s="20"/>
      <c r="VB82" s="20"/>
      <c r="VC82" s="20"/>
      <c r="VD82" s="20"/>
      <c r="VE82" s="20"/>
      <c r="VF82" s="20"/>
      <c r="VG82" s="20"/>
      <c r="VH82" s="20"/>
      <c r="VI82" s="20"/>
      <c r="VJ82" s="20"/>
      <c r="VK82" s="20"/>
      <c r="VL82" s="20"/>
      <c r="VM82" s="20"/>
      <c r="VN82" s="20"/>
      <c r="VO82" s="20"/>
      <c r="VP82" s="20"/>
      <c r="VQ82" s="20"/>
      <c r="VR82" s="20"/>
      <c r="VS82" s="20"/>
      <c r="VT82" s="20"/>
      <c r="VU82" s="20"/>
      <c r="VV82" s="20"/>
      <c r="VW82" s="20"/>
      <c r="VX82" s="20"/>
      <c r="VY82" s="20"/>
      <c r="VZ82" s="20"/>
      <c r="WA82" s="20"/>
      <c r="WB82" s="20"/>
      <c r="WC82" s="20"/>
      <c r="WD82" s="20"/>
      <c r="WE82" s="20"/>
      <c r="WF82" s="20"/>
      <c r="WG82" s="20"/>
      <c r="WH82" s="20"/>
      <c r="WI82" s="20"/>
      <c r="WJ82" s="20"/>
      <c r="WK82" s="20"/>
      <c r="WL82" s="20"/>
      <c r="WM82" s="20"/>
      <c r="WN82" s="20"/>
      <c r="WO82" s="20"/>
      <c r="WP82" s="20"/>
      <c r="WQ82" s="20"/>
      <c r="WR82" s="20"/>
      <c r="WS82" s="20"/>
      <c r="WT82" s="20"/>
      <c r="WU82" s="20"/>
      <c r="WV82" s="20"/>
      <c r="WW82" s="20"/>
      <c r="WX82" s="20"/>
      <c r="WY82" s="20"/>
      <c r="WZ82" s="20"/>
      <c r="XA82" s="20"/>
      <c r="XB82" s="20"/>
      <c r="XC82" s="20"/>
      <c r="XD82" s="20"/>
      <c r="XE82" s="20"/>
      <c r="XF82" s="20"/>
      <c r="XG82" s="20"/>
      <c r="XH82" s="20"/>
      <c r="XI82" s="20"/>
      <c r="XJ82" s="20"/>
      <c r="XK82" s="20"/>
      <c r="XL82" s="20"/>
      <c r="XM82" s="20"/>
      <c r="XN82" s="20"/>
      <c r="XO82" s="20"/>
      <c r="XP82" s="20"/>
      <c r="XQ82" s="20"/>
      <c r="XR82" s="20"/>
      <c r="XS82" s="20"/>
      <c r="XT82" s="20"/>
      <c r="XU82" s="20"/>
      <c r="XV82" s="20"/>
      <c r="XW82" s="20"/>
      <c r="XX82" s="20"/>
      <c r="XY82" s="20"/>
      <c r="XZ82" s="20"/>
      <c r="YA82" s="20"/>
      <c r="YB82" s="20"/>
      <c r="YC82" s="20"/>
      <c r="YD82" s="20"/>
      <c r="YE82" s="20"/>
      <c r="YF82" s="20"/>
      <c r="YG82" s="20"/>
      <c r="YH82" s="20"/>
      <c r="YI82" s="20"/>
      <c r="YJ82" s="20"/>
      <c r="YK82" s="20"/>
      <c r="YL82" s="20"/>
      <c r="YM82" s="20"/>
      <c r="YN82" s="20"/>
      <c r="YO82" s="20"/>
      <c r="YP82" s="20"/>
      <c r="YQ82" s="20"/>
      <c r="YR82" s="20"/>
      <c r="YS82" s="20"/>
      <c r="YT82" s="20"/>
      <c r="YU82" s="20"/>
      <c r="YV82" s="20"/>
      <c r="YW82" s="20"/>
      <c r="YX82" s="20"/>
      <c r="YY82" s="20"/>
      <c r="YZ82" s="20"/>
      <c r="ZA82" s="20"/>
      <c r="ZB82" s="20"/>
      <c r="ZC82" s="20"/>
      <c r="ZD82" s="20"/>
      <c r="ZE82" s="20"/>
      <c r="ZF82" s="20"/>
      <c r="ZG82" s="20"/>
      <c r="ZH82" s="20"/>
      <c r="ZI82" s="20"/>
      <c r="ZJ82" s="20"/>
      <c r="ZK82" s="20"/>
      <c r="ZL82" s="20"/>
      <c r="ZM82" s="20"/>
      <c r="ZN82" s="20"/>
      <c r="ZO82" s="20"/>
      <c r="ZP82" s="20"/>
      <c r="ZQ82" s="20"/>
      <c r="ZR82" s="20"/>
      <c r="ZS82" s="20"/>
      <c r="ZT82" s="20"/>
      <c r="ZU82" s="20"/>
      <c r="ZV82" s="20"/>
      <c r="ZW82" s="20"/>
      <c r="ZX82" s="20"/>
      <c r="ZY82" s="20"/>
      <c r="ZZ82" s="20"/>
      <c r="AAA82" s="20"/>
      <c r="AAB82" s="20"/>
      <c r="AAC82" s="20"/>
      <c r="AAD82" s="20"/>
      <c r="AAE82" s="20"/>
      <c r="AAF82" s="20"/>
      <c r="AAG82" s="20"/>
      <c r="AAH82" s="20"/>
      <c r="AAI82" s="20"/>
      <c r="AAJ82" s="20"/>
      <c r="AAK82" s="20"/>
      <c r="AAL82" s="20"/>
      <c r="AAM82" s="20"/>
      <c r="AAN82" s="20"/>
      <c r="AAO82" s="20"/>
      <c r="AAP82" s="20"/>
      <c r="AAQ82" s="20"/>
      <c r="AAR82" s="20"/>
      <c r="AAS82" s="20"/>
      <c r="AAT82" s="20"/>
      <c r="AAU82" s="20"/>
      <c r="AAV82" s="20"/>
      <c r="AAW82" s="20"/>
      <c r="AAX82" s="20"/>
      <c r="AAY82" s="20"/>
      <c r="AAZ82" s="20"/>
      <c r="ABA82" s="20"/>
      <c r="ABB82" s="20"/>
      <c r="ABC82" s="20"/>
      <c r="ABD82" s="20"/>
      <c r="ABE82" s="20"/>
      <c r="ABF82" s="20"/>
      <c r="ABG82" s="20"/>
      <c r="ABH82" s="20"/>
      <c r="ABI82" s="20"/>
      <c r="ABJ82" s="20"/>
      <c r="ABK82" s="20"/>
      <c r="ABL82" s="20"/>
      <c r="ABM82" s="20"/>
      <c r="ABN82" s="20"/>
      <c r="ABO82" s="20"/>
      <c r="ABP82" s="20"/>
      <c r="ABQ82" s="20"/>
      <c r="ABR82" s="20"/>
      <c r="ABS82" s="20"/>
      <c r="ABT82" s="20"/>
      <c r="ABU82" s="20"/>
      <c r="ABV82" s="20"/>
      <c r="ABW82" s="20"/>
      <c r="ABX82" s="20"/>
      <c r="ABY82" s="20"/>
      <c r="ABZ82" s="20"/>
      <c r="ACA82" s="20"/>
      <c r="ACB82" s="20"/>
      <c r="ACC82" s="20"/>
      <c r="ACD82" s="20"/>
      <c r="ACE82" s="20"/>
      <c r="ACF82" s="20"/>
      <c r="ACG82" s="20"/>
      <c r="ACH82" s="20"/>
      <c r="ACI82" s="20"/>
      <c r="ACJ82" s="20"/>
      <c r="ACK82" s="20"/>
      <c r="ACL82" s="20"/>
      <c r="ACM82" s="20"/>
      <c r="ACN82" s="20"/>
      <c r="ACO82" s="20"/>
      <c r="ACP82" s="20"/>
      <c r="ACQ82" s="20"/>
    </row>
    <row r="83" spans="1:771" s="62" customFormat="1" ht="48.95" customHeight="1">
      <c r="A83" s="20"/>
      <c r="B83" s="61" t="s">
        <v>375</v>
      </c>
      <c r="D83" s="61" t="s">
        <v>370</v>
      </c>
      <c r="F83" s="63" t="s">
        <v>370</v>
      </c>
      <c r="H83" s="61" t="s">
        <v>298</v>
      </c>
      <c r="J83" s="61" t="s">
        <v>365</v>
      </c>
      <c r="L83" s="61" t="s">
        <v>74</v>
      </c>
      <c r="N83" s="61" t="s">
        <v>185</v>
      </c>
      <c r="P83" s="61" t="s">
        <v>376</v>
      </c>
      <c r="R83" s="63" t="s">
        <v>77</v>
      </c>
      <c r="T83" s="73" t="s">
        <v>265</v>
      </c>
      <c r="U83" s="66"/>
      <c r="V83" s="67" t="s">
        <v>79</v>
      </c>
      <c r="W83" s="68"/>
      <c r="X83" s="67" t="s">
        <v>80</v>
      </c>
      <c r="Y83" s="68"/>
      <c r="Z83" s="67" t="s">
        <v>80</v>
      </c>
      <c r="AA83" s="68"/>
      <c r="AB83" s="67" t="s">
        <v>80</v>
      </c>
      <c r="AD83" s="63" t="s">
        <v>377</v>
      </c>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c r="JS83" s="20"/>
      <c r="JT83" s="20"/>
      <c r="JU83" s="20"/>
      <c r="JV83" s="20"/>
      <c r="JW83" s="20"/>
      <c r="JX83" s="20"/>
      <c r="JY83" s="20"/>
      <c r="JZ83" s="20"/>
      <c r="KA83" s="20"/>
      <c r="KB83" s="20"/>
      <c r="KC83" s="20"/>
      <c r="KD83" s="20"/>
      <c r="KE83" s="20"/>
      <c r="KF83" s="20"/>
      <c r="KG83" s="20"/>
      <c r="KH83" s="20"/>
      <c r="KI83" s="20"/>
      <c r="KJ83" s="20"/>
      <c r="KK83" s="20"/>
      <c r="KL83" s="20"/>
      <c r="KM83" s="20"/>
      <c r="KN83" s="20"/>
      <c r="KO83" s="20"/>
      <c r="KP83" s="20"/>
      <c r="KQ83" s="20"/>
      <c r="KR83" s="20"/>
      <c r="KS83" s="20"/>
      <c r="KT83" s="20"/>
      <c r="KU83" s="20"/>
      <c r="KV83" s="20"/>
      <c r="KW83" s="20"/>
      <c r="KX83" s="20"/>
      <c r="KY83" s="20"/>
      <c r="KZ83" s="20"/>
      <c r="LA83" s="20"/>
      <c r="LB83" s="20"/>
      <c r="LC83" s="20"/>
      <c r="LD83" s="20"/>
      <c r="LE83" s="20"/>
      <c r="LF83" s="20"/>
      <c r="LG83" s="20"/>
      <c r="LH83" s="20"/>
      <c r="LI83" s="20"/>
      <c r="LJ83" s="20"/>
      <c r="LK83" s="20"/>
      <c r="LL83" s="20"/>
      <c r="LM83" s="20"/>
      <c r="LN83" s="20"/>
      <c r="LO83" s="20"/>
      <c r="LP83" s="20"/>
      <c r="LQ83" s="20"/>
      <c r="LR83" s="20"/>
      <c r="LS83" s="20"/>
      <c r="LT83" s="20"/>
      <c r="LU83" s="20"/>
      <c r="LV83" s="20"/>
      <c r="LW83" s="20"/>
      <c r="LX83" s="20"/>
      <c r="LY83" s="20"/>
      <c r="LZ83" s="20"/>
      <c r="MA83" s="20"/>
      <c r="MB83" s="20"/>
      <c r="MC83" s="20"/>
      <c r="MD83" s="20"/>
      <c r="ME83" s="20"/>
      <c r="MF83" s="20"/>
      <c r="MG83" s="20"/>
      <c r="MH83" s="20"/>
      <c r="MI83" s="20"/>
      <c r="MJ83" s="20"/>
      <c r="MK83" s="20"/>
      <c r="ML83" s="20"/>
      <c r="MM83" s="20"/>
      <c r="MN83" s="20"/>
      <c r="MO83" s="20"/>
      <c r="MP83" s="20"/>
      <c r="MQ83" s="20"/>
      <c r="MR83" s="20"/>
      <c r="MS83" s="20"/>
      <c r="MT83" s="20"/>
      <c r="MU83" s="20"/>
      <c r="MV83" s="20"/>
      <c r="MW83" s="20"/>
      <c r="MX83" s="20"/>
      <c r="MY83" s="20"/>
      <c r="MZ83" s="20"/>
      <c r="NA83" s="20"/>
      <c r="NB83" s="20"/>
      <c r="NC83" s="20"/>
      <c r="ND83" s="20"/>
      <c r="NE83" s="20"/>
      <c r="NF83" s="20"/>
      <c r="NG83" s="20"/>
      <c r="NH83" s="20"/>
      <c r="NI83" s="20"/>
      <c r="NJ83" s="20"/>
      <c r="NK83" s="20"/>
      <c r="NL83" s="20"/>
      <c r="NM83" s="20"/>
      <c r="NN83" s="20"/>
      <c r="NO83" s="20"/>
      <c r="NP83" s="20"/>
      <c r="NQ83" s="20"/>
      <c r="NR83" s="20"/>
      <c r="NS83" s="20"/>
      <c r="NT83" s="20"/>
      <c r="NU83" s="20"/>
      <c r="NV83" s="20"/>
      <c r="NW83" s="20"/>
      <c r="NX83" s="20"/>
      <c r="NY83" s="20"/>
      <c r="NZ83" s="20"/>
      <c r="OA83" s="20"/>
      <c r="OB83" s="20"/>
      <c r="OC83" s="20"/>
      <c r="OD83" s="20"/>
      <c r="OE83" s="20"/>
      <c r="OF83" s="20"/>
      <c r="OG83" s="20"/>
      <c r="OH83" s="20"/>
      <c r="OI83" s="20"/>
      <c r="OJ83" s="20"/>
      <c r="OK83" s="20"/>
      <c r="OL83" s="20"/>
      <c r="OM83" s="20"/>
      <c r="ON83" s="20"/>
      <c r="OO83" s="20"/>
      <c r="OP83" s="20"/>
      <c r="OQ83" s="20"/>
      <c r="OR83" s="20"/>
      <c r="OS83" s="20"/>
      <c r="OT83" s="20"/>
      <c r="OU83" s="20"/>
      <c r="OV83" s="20"/>
      <c r="OW83" s="20"/>
      <c r="OX83" s="20"/>
      <c r="OY83" s="20"/>
      <c r="OZ83" s="20"/>
      <c r="PA83" s="20"/>
      <c r="PB83" s="20"/>
      <c r="PC83" s="20"/>
      <c r="PD83" s="20"/>
      <c r="PE83" s="20"/>
      <c r="PF83" s="20"/>
      <c r="PG83" s="20"/>
      <c r="PH83" s="20"/>
      <c r="PI83" s="20"/>
      <c r="PJ83" s="20"/>
      <c r="PK83" s="20"/>
      <c r="PL83" s="20"/>
      <c r="PM83" s="20"/>
      <c r="PN83" s="20"/>
      <c r="PO83" s="20"/>
      <c r="PP83" s="20"/>
      <c r="PQ83" s="20"/>
      <c r="PR83" s="20"/>
      <c r="PS83" s="20"/>
      <c r="PT83" s="20"/>
      <c r="PU83" s="20"/>
      <c r="PV83" s="20"/>
      <c r="PW83" s="20"/>
      <c r="PX83" s="20"/>
      <c r="PY83" s="20"/>
      <c r="PZ83" s="20"/>
      <c r="QA83" s="20"/>
      <c r="QB83" s="20"/>
      <c r="QC83" s="20"/>
      <c r="QD83" s="20"/>
      <c r="QE83" s="20"/>
      <c r="QF83" s="20"/>
      <c r="QG83" s="20"/>
      <c r="QH83" s="20"/>
      <c r="QI83" s="20"/>
      <c r="QJ83" s="20"/>
      <c r="QK83" s="20"/>
      <c r="QL83" s="20"/>
      <c r="QM83" s="20"/>
      <c r="QN83" s="20"/>
      <c r="QO83" s="20"/>
      <c r="QP83" s="20"/>
      <c r="QQ83" s="20"/>
      <c r="QR83" s="20"/>
      <c r="QS83" s="20"/>
      <c r="QT83" s="20"/>
      <c r="QU83" s="20"/>
      <c r="QV83" s="20"/>
      <c r="QW83" s="20"/>
      <c r="QX83" s="20"/>
      <c r="QY83" s="20"/>
      <c r="QZ83" s="20"/>
      <c r="RA83" s="20"/>
      <c r="RB83" s="20"/>
      <c r="RC83" s="20"/>
      <c r="RD83" s="20"/>
      <c r="RE83" s="20"/>
      <c r="RF83" s="20"/>
      <c r="RG83" s="20"/>
      <c r="RH83" s="20"/>
      <c r="RI83" s="20"/>
      <c r="RJ83" s="20"/>
      <c r="RK83" s="20"/>
      <c r="RL83" s="20"/>
      <c r="RM83" s="20"/>
      <c r="RN83" s="20"/>
      <c r="RO83" s="20"/>
      <c r="RP83" s="20"/>
      <c r="RQ83" s="20"/>
      <c r="RR83" s="20"/>
      <c r="RS83" s="20"/>
      <c r="RT83" s="20"/>
      <c r="RU83" s="20"/>
      <c r="RV83" s="20"/>
      <c r="RW83" s="20"/>
      <c r="RX83" s="20"/>
      <c r="RY83" s="20"/>
      <c r="RZ83" s="20"/>
      <c r="SA83" s="20"/>
      <c r="SB83" s="20"/>
      <c r="SC83" s="20"/>
      <c r="SD83" s="20"/>
      <c r="SE83" s="20"/>
      <c r="SF83" s="20"/>
      <c r="SG83" s="20"/>
      <c r="SH83" s="20"/>
      <c r="SI83" s="20"/>
      <c r="SJ83" s="20"/>
      <c r="SK83" s="20"/>
      <c r="SL83" s="20"/>
      <c r="SM83" s="20"/>
      <c r="SN83" s="20"/>
      <c r="SO83" s="20"/>
      <c r="SP83" s="20"/>
      <c r="SQ83" s="20"/>
      <c r="SR83" s="20"/>
      <c r="SS83" s="20"/>
      <c r="ST83" s="20"/>
      <c r="SU83" s="20"/>
      <c r="SV83" s="20"/>
      <c r="SW83" s="20"/>
      <c r="SX83" s="20"/>
      <c r="SY83" s="20"/>
      <c r="SZ83" s="20"/>
      <c r="TA83" s="20"/>
      <c r="TB83" s="20"/>
      <c r="TC83" s="20"/>
      <c r="TD83" s="20"/>
      <c r="TE83" s="20"/>
      <c r="TF83" s="20"/>
      <c r="TG83" s="20"/>
      <c r="TH83" s="20"/>
      <c r="TI83" s="20"/>
      <c r="TJ83" s="20"/>
      <c r="TK83" s="20"/>
      <c r="TL83" s="20"/>
      <c r="TM83" s="20"/>
      <c r="TN83" s="20"/>
      <c r="TO83" s="20"/>
      <c r="TP83" s="20"/>
      <c r="TQ83" s="20"/>
      <c r="TR83" s="20"/>
      <c r="TS83" s="20"/>
      <c r="TT83" s="20"/>
      <c r="TU83" s="20"/>
      <c r="TV83" s="20"/>
      <c r="TW83" s="20"/>
      <c r="TX83" s="20"/>
      <c r="TY83" s="20"/>
      <c r="TZ83" s="20"/>
      <c r="UA83" s="20"/>
      <c r="UB83" s="20"/>
      <c r="UC83" s="20"/>
      <c r="UD83" s="20"/>
      <c r="UE83" s="20"/>
      <c r="UF83" s="20"/>
      <c r="UG83" s="20"/>
      <c r="UH83" s="20"/>
      <c r="UI83" s="20"/>
      <c r="UJ83" s="20"/>
      <c r="UK83" s="20"/>
      <c r="UL83" s="20"/>
      <c r="UM83" s="20"/>
      <c r="UN83" s="20"/>
      <c r="UO83" s="20"/>
      <c r="UP83" s="20"/>
      <c r="UQ83" s="20"/>
      <c r="UR83" s="20"/>
      <c r="US83" s="20"/>
      <c r="UT83" s="20"/>
      <c r="UU83" s="20"/>
      <c r="UV83" s="20"/>
      <c r="UW83" s="20"/>
      <c r="UX83" s="20"/>
      <c r="UY83" s="20"/>
      <c r="UZ83" s="20"/>
      <c r="VA83" s="20"/>
      <c r="VB83" s="20"/>
      <c r="VC83" s="20"/>
      <c r="VD83" s="20"/>
      <c r="VE83" s="20"/>
      <c r="VF83" s="20"/>
      <c r="VG83" s="20"/>
      <c r="VH83" s="20"/>
      <c r="VI83" s="20"/>
      <c r="VJ83" s="20"/>
      <c r="VK83" s="20"/>
      <c r="VL83" s="20"/>
      <c r="VM83" s="20"/>
      <c r="VN83" s="20"/>
      <c r="VO83" s="20"/>
      <c r="VP83" s="20"/>
      <c r="VQ83" s="20"/>
      <c r="VR83" s="20"/>
      <c r="VS83" s="20"/>
      <c r="VT83" s="20"/>
      <c r="VU83" s="20"/>
      <c r="VV83" s="20"/>
      <c r="VW83" s="20"/>
      <c r="VX83" s="20"/>
      <c r="VY83" s="20"/>
      <c r="VZ83" s="20"/>
      <c r="WA83" s="20"/>
      <c r="WB83" s="20"/>
      <c r="WC83" s="20"/>
      <c r="WD83" s="20"/>
      <c r="WE83" s="20"/>
      <c r="WF83" s="20"/>
      <c r="WG83" s="20"/>
      <c r="WH83" s="20"/>
      <c r="WI83" s="20"/>
      <c r="WJ83" s="20"/>
      <c r="WK83" s="20"/>
      <c r="WL83" s="20"/>
      <c r="WM83" s="20"/>
      <c r="WN83" s="20"/>
      <c r="WO83" s="20"/>
      <c r="WP83" s="20"/>
      <c r="WQ83" s="20"/>
      <c r="WR83" s="20"/>
      <c r="WS83" s="20"/>
      <c r="WT83" s="20"/>
      <c r="WU83" s="20"/>
      <c r="WV83" s="20"/>
      <c r="WW83" s="20"/>
      <c r="WX83" s="20"/>
      <c r="WY83" s="20"/>
      <c r="WZ83" s="20"/>
      <c r="XA83" s="20"/>
      <c r="XB83" s="20"/>
      <c r="XC83" s="20"/>
      <c r="XD83" s="20"/>
      <c r="XE83" s="20"/>
      <c r="XF83" s="20"/>
      <c r="XG83" s="20"/>
      <c r="XH83" s="20"/>
      <c r="XI83" s="20"/>
      <c r="XJ83" s="20"/>
      <c r="XK83" s="20"/>
      <c r="XL83" s="20"/>
      <c r="XM83" s="20"/>
      <c r="XN83" s="20"/>
      <c r="XO83" s="20"/>
      <c r="XP83" s="20"/>
      <c r="XQ83" s="20"/>
      <c r="XR83" s="20"/>
      <c r="XS83" s="20"/>
      <c r="XT83" s="20"/>
      <c r="XU83" s="20"/>
      <c r="XV83" s="20"/>
      <c r="XW83" s="20"/>
      <c r="XX83" s="20"/>
      <c r="XY83" s="20"/>
      <c r="XZ83" s="20"/>
      <c r="YA83" s="20"/>
      <c r="YB83" s="20"/>
      <c r="YC83" s="20"/>
      <c r="YD83" s="20"/>
      <c r="YE83" s="20"/>
      <c r="YF83" s="20"/>
      <c r="YG83" s="20"/>
      <c r="YH83" s="20"/>
      <c r="YI83" s="20"/>
      <c r="YJ83" s="20"/>
      <c r="YK83" s="20"/>
      <c r="YL83" s="20"/>
      <c r="YM83" s="20"/>
      <c r="YN83" s="20"/>
      <c r="YO83" s="20"/>
      <c r="YP83" s="20"/>
      <c r="YQ83" s="20"/>
      <c r="YR83" s="20"/>
      <c r="YS83" s="20"/>
      <c r="YT83" s="20"/>
      <c r="YU83" s="20"/>
      <c r="YV83" s="20"/>
      <c r="YW83" s="20"/>
      <c r="YX83" s="20"/>
      <c r="YY83" s="20"/>
      <c r="YZ83" s="20"/>
      <c r="ZA83" s="20"/>
      <c r="ZB83" s="20"/>
      <c r="ZC83" s="20"/>
      <c r="ZD83" s="20"/>
      <c r="ZE83" s="20"/>
      <c r="ZF83" s="20"/>
      <c r="ZG83" s="20"/>
      <c r="ZH83" s="20"/>
      <c r="ZI83" s="20"/>
      <c r="ZJ83" s="20"/>
      <c r="ZK83" s="20"/>
      <c r="ZL83" s="20"/>
      <c r="ZM83" s="20"/>
      <c r="ZN83" s="20"/>
      <c r="ZO83" s="20"/>
      <c r="ZP83" s="20"/>
      <c r="ZQ83" s="20"/>
      <c r="ZR83" s="20"/>
      <c r="ZS83" s="20"/>
      <c r="ZT83" s="20"/>
      <c r="ZU83" s="20"/>
      <c r="ZV83" s="20"/>
      <c r="ZW83" s="20"/>
      <c r="ZX83" s="20"/>
      <c r="ZY83" s="20"/>
      <c r="ZZ83" s="20"/>
      <c r="AAA83" s="20"/>
      <c r="AAB83" s="20"/>
      <c r="AAC83" s="20"/>
      <c r="AAD83" s="20"/>
      <c r="AAE83" s="20"/>
      <c r="AAF83" s="20"/>
      <c r="AAG83" s="20"/>
      <c r="AAH83" s="20"/>
      <c r="AAI83" s="20"/>
      <c r="AAJ83" s="20"/>
      <c r="AAK83" s="20"/>
      <c r="AAL83" s="20"/>
      <c r="AAM83" s="20"/>
      <c r="AAN83" s="20"/>
      <c r="AAO83" s="20"/>
      <c r="AAP83" s="20"/>
      <c r="AAQ83" s="20"/>
      <c r="AAR83" s="20"/>
      <c r="AAS83" s="20"/>
      <c r="AAT83" s="20"/>
      <c r="AAU83" s="20"/>
      <c r="AAV83" s="20"/>
      <c r="AAW83" s="20"/>
      <c r="AAX83" s="20"/>
      <c r="AAY83" s="20"/>
      <c r="AAZ83" s="20"/>
      <c r="ABA83" s="20"/>
      <c r="ABB83" s="20"/>
      <c r="ABC83" s="20"/>
      <c r="ABD83" s="20"/>
      <c r="ABE83" s="20"/>
      <c r="ABF83" s="20"/>
      <c r="ABG83" s="20"/>
      <c r="ABH83" s="20"/>
      <c r="ABI83" s="20"/>
      <c r="ABJ83" s="20"/>
      <c r="ABK83" s="20"/>
      <c r="ABL83" s="20"/>
      <c r="ABM83" s="20"/>
      <c r="ABN83" s="20"/>
      <c r="ABO83" s="20"/>
      <c r="ABP83" s="20"/>
      <c r="ABQ83" s="20"/>
      <c r="ABR83" s="20"/>
      <c r="ABS83" s="20"/>
      <c r="ABT83" s="20"/>
      <c r="ABU83" s="20"/>
      <c r="ABV83" s="20"/>
      <c r="ABW83" s="20"/>
      <c r="ABX83" s="20"/>
      <c r="ABY83" s="20"/>
      <c r="ABZ83" s="20"/>
      <c r="ACA83" s="20"/>
      <c r="ACB83" s="20"/>
      <c r="ACC83" s="20"/>
      <c r="ACD83" s="20"/>
      <c r="ACE83" s="20"/>
      <c r="ACF83" s="20"/>
      <c r="ACG83" s="20"/>
      <c r="ACH83" s="20"/>
      <c r="ACI83" s="20"/>
      <c r="ACJ83" s="20"/>
      <c r="ACK83" s="20"/>
      <c r="ACL83" s="20"/>
      <c r="ACM83" s="20"/>
      <c r="ACN83" s="20"/>
      <c r="ACO83" s="20"/>
      <c r="ACP83" s="20"/>
      <c r="ACQ83" s="20"/>
    </row>
    <row r="84" spans="1:771" s="62" customFormat="1" ht="48.95" customHeight="1">
      <c r="A84" s="20"/>
      <c r="B84" s="61" t="s">
        <v>375</v>
      </c>
      <c r="D84" s="61" t="s">
        <v>362</v>
      </c>
      <c r="F84" s="63" t="s">
        <v>363</v>
      </c>
      <c r="H84" s="61" t="s">
        <v>298</v>
      </c>
      <c r="J84" s="61" t="s">
        <v>365</v>
      </c>
      <c r="L84" s="61" t="s">
        <v>74</v>
      </c>
      <c r="N84" s="61" t="s">
        <v>185</v>
      </c>
      <c r="P84" s="61" t="s">
        <v>376</v>
      </c>
      <c r="R84" s="63" t="s">
        <v>77</v>
      </c>
      <c r="T84" s="73" t="s">
        <v>265</v>
      </c>
      <c r="U84" s="66"/>
      <c r="V84" s="67" t="s">
        <v>79</v>
      </c>
      <c r="W84" s="68"/>
      <c r="X84" s="67" t="s">
        <v>80</v>
      </c>
      <c r="Y84" s="68"/>
      <c r="Z84" s="67" t="s">
        <v>80</v>
      </c>
      <c r="AA84" s="68"/>
      <c r="AB84" s="67" t="s">
        <v>80</v>
      </c>
      <c r="AD84" s="63" t="s">
        <v>377</v>
      </c>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0"/>
      <c r="NI84" s="20"/>
      <c r="NJ84" s="20"/>
      <c r="NK84" s="20"/>
      <c r="NL84" s="20"/>
      <c r="NM84" s="20"/>
      <c r="NN84" s="20"/>
      <c r="NO84" s="20"/>
      <c r="NP84" s="20"/>
      <c r="NQ84" s="20"/>
      <c r="NR84" s="20"/>
      <c r="NS84" s="20"/>
      <c r="NT84" s="20"/>
      <c r="NU84" s="20"/>
      <c r="NV84" s="20"/>
      <c r="NW84" s="20"/>
      <c r="NX84" s="20"/>
      <c r="NY84" s="20"/>
      <c r="NZ84" s="20"/>
      <c r="OA84" s="20"/>
      <c r="OB84" s="20"/>
      <c r="OC84" s="20"/>
      <c r="OD84" s="20"/>
      <c r="OE84" s="20"/>
      <c r="OF84" s="20"/>
      <c r="OG84" s="20"/>
      <c r="OH84" s="20"/>
      <c r="OI84" s="20"/>
      <c r="OJ84" s="20"/>
      <c r="OK84" s="20"/>
      <c r="OL84" s="20"/>
      <c r="OM84" s="20"/>
      <c r="ON84" s="20"/>
      <c r="OO84" s="20"/>
      <c r="OP84" s="20"/>
      <c r="OQ84" s="20"/>
      <c r="OR84" s="20"/>
      <c r="OS84" s="20"/>
      <c r="OT84" s="20"/>
      <c r="OU84" s="20"/>
      <c r="OV84" s="20"/>
      <c r="OW84" s="20"/>
      <c r="OX84" s="20"/>
      <c r="OY84" s="20"/>
      <c r="OZ84" s="20"/>
      <c r="PA84" s="20"/>
      <c r="PB84" s="20"/>
      <c r="PC84" s="20"/>
      <c r="PD84" s="20"/>
      <c r="PE84" s="20"/>
      <c r="PF84" s="20"/>
      <c r="PG84" s="20"/>
      <c r="PH84" s="20"/>
      <c r="PI84" s="20"/>
      <c r="PJ84" s="20"/>
      <c r="PK84" s="20"/>
      <c r="PL84" s="20"/>
      <c r="PM84" s="20"/>
      <c r="PN84" s="20"/>
      <c r="PO84" s="20"/>
      <c r="PP84" s="20"/>
      <c r="PQ84" s="20"/>
      <c r="PR84" s="20"/>
      <c r="PS84" s="20"/>
      <c r="PT84" s="20"/>
      <c r="PU84" s="20"/>
      <c r="PV84" s="20"/>
      <c r="PW84" s="20"/>
      <c r="PX84" s="20"/>
      <c r="PY84" s="20"/>
      <c r="PZ84" s="20"/>
      <c r="QA84" s="20"/>
      <c r="QB84" s="20"/>
      <c r="QC84" s="20"/>
      <c r="QD84" s="20"/>
      <c r="QE84" s="20"/>
      <c r="QF84" s="20"/>
      <c r="QG84" s="20"/>
      <c r="QH84" s="20"/>
      <c r="QI84" s="20"/>
      <c r="QJ84" s="20"/>
      <c r="QK84" s="20"/>
      <c r="QL84" s="20"/>
      <c r="QM84" s="20"/>
      <c r="QN84" s="20"/>
      <c r="QO84" s="20"/>
      <c r="QP84" s="20"/>
      <c r="QQ84" s="20"/>
      <c r="QR84" s="20"/>
      <c r="QS84" s="20"/>
      <c r="QT84" s="20"/>
      <c r="QU84" s="20"/>
      <c r="QV84" s="20"/>
      <c r="QW84" s="20"/>
      <c r="QX84" s="20"/>
      <c r="QY84" s="20"/>
      <c r="QZ84" s="20"/>
      <c r="RA84" s="20"/>
      <c r="RB84" s="20"/>
      <c r="RC84" s="20"/>
      <c r="RD84" s="20"/>
      <c r="RE84" s="20"/>
      <c r="RF84" s="20"/>
      <c r="RG84" s="20"/>
      <c r="RH84" s="20"/>
      <c r="RI84" s="20"/>
      <c r="RJ84" s="20"/>
      <c r="RK84" s="20"/>
      <c r="RL84" s="20"/>
      <c r="RM84" s="20"/>
      <c r="RN84" s="20"/>
      <c r="RO84" s="20"/>
      <c r="RP84" s="20"/>
      <c r="RQ84" s="20"/>
      <c r="RR84" s="20"/>
      <c r="RS84" s="20"/>
      <c r="RT84" s="20"/>
      <c r="RU84" s="20"/>
      <c r="RV84" s="20"/>
      <c r="RW84" s="20"/>
      <c r="RX84" s="20"/>
      <c r="RY84" s="20"/>
      <c r="RZ84" s="20"/>
      <c r="SA84" s="20"/>
      <c r="SB84" s="20"/>
      <c r="SC84" s="20"/>
      <c r="SD84" s="20"/>
      <c r="SE84" s="20"/>
      <c r="SF84" s="20"/>
      <c r="SG84" s="20"/>
      <c r="SH84" s="20"/>
      <c r="SI84" s="20"/>
      <c r="SJ84" s="20"/>
      <c r="SK84" s="20"/>
      <c r="SL84" s="20"/>
      <c r="SM84" s="20"/>
      <c r="SN84" s="20"/>
      <c r="SO84" s="20"/>
      <c r="SP84" s="20"/>
      <c r="SQ84" s="20"/>
      <c r="SR84" s="20"/>
      <c r="SS84" s="20"/>
      <c r="ST84" s="20"/>
      <c r="SU84" s="20"/>
      <c r="SV84" s="20"/>
      <c r="SW84" s="20"/>
      <c r="SX84" s="20"/>
      <c r="SY84" s="20"/>
      <c r="SZ84" s="20"/>
      <c r="TA84" s="20"/>
      <c r="TB84" s="20"/>
      <c r="TC84" s="20"/>
      <c r="TD84" s="20"/>
      <c r="TE84" s="20"/>
      <c r="TF84" s="20"/>
      <c r="TG84" s="20"/>
      <c r="TH84" s="20"/>
      <c r="TI84" s="20"/>
      <c r="TJ84" s="20"/>
      <c r="TK84" s="20"/>
      <c r="TL84" s="20"/>
      <c r="TM84" s="20"/>
      <c r="TN84" s="20"/>
      <c r="TO84" s="20"/>
      <c r="TP84" s="20"/>
      <c r="TQ84" s="20"/>
      <c r="TR84" s="20"/>
      <c r="TS84" s="20"/>
      <c r="TT84" s="20"/>
      <c r="TU84" s="20"/>
      <c r="TV84" s="20"/>
      <c r="TW84" s="20"/>
      <c r="TX84" s="20"/>
      <c r="TY84" s="20"/>
      <c r="TZ84" s="20"/>
      <c r="UA84" s="20"/>
      <c r="UB84" s="20"/>
      <c r="UC84" s="20"/>
      <c r="UD84" s="20"/>
      <c r="UE84" s="20"/>
      <c r="UF84" s="20"/>
      <c r="UG84" s="20"/>
      <c r="UH84" s="20"/>
      <c r="UI84" s="20"/>
      <c r="UJ84" s="20"/>
      <c r="UK84" s="20"/>
      <c r="UL84" s="20"/>
      <c r="UM84" s="20"/>
      <c r="UN84" s="20"/>
      <c r="UO84" s="20"/>
      <c r="UP84" s="20"/>
      <c r="UQ84" s="20"/>
      <c r="UR84" s="20"/>
      <c r="US84" s="20"/>
      <c r="UT84" s="20"/>
      <c r="UU84" s="20"/>
      <c r="UV84" s="20"/>
      <c r="UW84" s="20"/>
      <c r="UX84" s="20"/>
      <c r="UY84" s="20"/>
      <c r="UZ84" s="20"/>
      <c r="VA84" s="20"/>
      <c r="VB84" s="20"/>
      <c r="VC84" s="20"/>
      <c r="VD84" s="20"/>
      <c r="VE84" s="20"/>
      <c r="VF84" s="20"/>
      <c r="VG84" s="20"/>
      <c r="VH84" s="20"/>
      <c r="VI84" s="20"/>
      <c r="VJ84" s="20"/>
      <c r="VK84" s="20"/>
      <c r="VL84" s="20"/>
      <c r="VM84" s="20"/>
      <c r="VN84" s="20"/>
      <c r="VO84" s="20"/>
      <c r="VP84" s="20"/>
      <c r="VQ84" s="20"/>
      <c r="VR84" s="20"/>
      <c r="VS84" s="20"/>
      <c r="VT84" s="20"/>
      <c r="VU84" s="20"/>
      <c r="VV84" s="20"/>
      <c r="VW84" s="20"/>
      <c r="VX84" s="20"/>
      <c r="VY84" s="20"/>
      <c r="VZ84" s="20"/>
      <c r="WA84" s="20"/>
      <c r="WB84" s="20"/>
      <c r="WC84" s="20"/>
      <c r="WD84" s="20"/>
      <c r="WE84" s="20"/>
      <c r="WF84" s="20"/>
      <c r="WG84" s="20"/>
      <c r="WH84" s="20"/>
      <c r="WI84" s="20"/>
      <c r="WJ84" s="20"/>
      <c r="WK84" s="20"/>
      <c r="WL84" s="20"/>
      <c r="WM84" s="20"/>
      <c r="WN84" s="20"/>
      <c r="WO84" s="20"/>
      <c r="WP84" s="20"/>
      <c r="WQ84" s="20"/>
      <c r="WR84" s="20"/>
      <c r="WS84" s="20"/>
      <c r="WT84" s="20"/>
      <c r="WU84" s="20"/>
      <c r="WV84" s="20"/>
      <c r="WW84" s="20"/>
      <c r="WX84" s="20"/>
      <c r="WY84" s="20"/>
      <c r="WZ84" s="20"/>
      <c r="XA84" s="20"/>
      <c r="XB84" s="20"/>
      <c r="XC84" s="20"/>
      <c r="XD84" s="20"/>
      <c r="XE84" s="20"/>
      <c r="XF84" s="20"/>
      <c r="XG84" s="20"/>
      <c r="XH84" s="20"/>
      <c r="XI84" s="20"/>
      <c r="XJ84" s="20"/>
      <c r="XK84" s="20"/>
      <c r="XL84" s="20"/>
      <c r="XM84" s="20"/>
      <c r="XN84" s="20"/>
      <c r="XO84" s="20"/>
      <c r="XP84" s="20"/>
      <c r="XQ84" s="20"/>
      <c r="XR84" s="20"/>
      <c r="XS84" s="20"/>
      <c r="XT84" s="20"/>
      <c r="XU84" s="20"/>
      <c r="XV84" s="20"/>
      <c r="XW84" s="20"/>
      <c r="XX84" s="20"/>
      <c r="XY84" s="20"/>
      <c r="XZ84" s="20"/>
      <c r="YA84" s="20"/>
      <c r="YB84" s="20"/>
      <c r="YC84" s="20"/>
      <c r="YD84" s="20"/>
      <c r="YE84" s="20"/>
      <c r="YF84" s="20"/>
      <c r="YG84" s="20"/>
      <c r="YH84" s="20"/>
      <c r="YI84" s="20"/>
      <c r="YJ84" s="20"/>
      <c r="YK84" s="20"/>
      <c r="YL84" s="20"/>
      <c r="YM84" s="20"/>
      <c r="YN84" s="20"/>
      <c r="YO84" s="20"/>
      <c r="YP84" s="20"/>
      <c r="YQ84" s="20"/>
      <c r="YR84" s="20"/>
      <c r="YS84" s="20"/>
      <c r="YT84" s="20"/>
      <c r="YU84" s="20"/>
      <c r="YV84" s="20"/>
      <c r="YW84" s="20"/>
      <c r="YX84" s="20"/>
      <c r="YY84" s="20"/>
      <c r="YZ84" s="20"/>
      <c r="ZA84" s="20"/>
      <c r="ZB84" s="20"/>
      <c r="ZC84" s="20"/>
      <c r="ZD84" s="20"/>
      <c r="ZE84" s="20"/>
      <c r="ZF84" s="20"/>
      <c r="ZG84" s="20"/>
      <c r="ZH84" s="20"/>
      <c r="ZI84" s="20"/>
      <c r="ZJ84" s="20"/>
      <c r="ZK84" s="20"/>
      <c r="ZL84" s="20"/>
      <c r="ZM84" s="20"/>
      <c r="ZN84" s="20"/>
      <c r="ZO84" s="20"/>
      <c r="ZP84" s="20"/>
      <c r="ZQ84" s="20"/>
      <c r="ZR84" s="20"/>
      <c r="ZS84" s="20"/>
      <c r="ZT84" s="20"/>
      <c r="ZU84" s="20"/>
      <c r="ZV84" s="20"/>
      <c r="ZW84" s="20"/>
      <c r="ZX84" s="20"/>
      <c r="ZY84" s="20"/>
      <c r="ZZ84" s="20"/>
      <c r="AAA84" s="20"/>
      <c r="AAB84" s="20"/>
      <c r="AAC84" s="20"/>
      <c r="AAD84" s="20"/>
      <c r="AAE84" s="20"/>
      <c r="AAF84" s="20"/>
      <c r="AAG84" s="20"/>
      <c r="AAH84" s="20"/>
      <c r="AAI84" s="20"/>
      <c r="AAJ84" s="20"/>
      <c r="AAK84" s="20"/>
      <c r="AAL84" s="20"/>
      <c r="AAM84" s="20"/>
      <c r="AAN84" s="20"/>
      <c r="AAO84" s="20"/>
      <c r="AAP84" s="20"/>
      <c r="AAQ84" s="20"/>
      <c r="AAR84" s="20"/>
      <c r="AAS84" s="20"/>
      <c r="AAT84" s="20"/>
      <c r="AAU84" s="20"/>
      <c r="AAV84" s="20"/>
      <c r="AAW84" s="20"/>
      <c r="AAX84" s="20"/>
      <c r="AAY84" s="20"/>
      <c r="AAZ84" s="20"/>
      <c r="ABA84" s="20"/>
      <c r="ABB84" s="20"/>
      <c r="ABC84" s="20"/>
      <c r="ABD84" s="20"/>
      <c r="ABE84" s="20"/>
      <c r="ABF84" s="20"/>
      <c r="ABG84" s="20"/>
      <c r="ABH84" s="20"/>
      <c r="ABI84" s="20"/>
      <c r="ABJ84" s="20"/>
      <c r="ABK84" s="20"/>
      <c r="ABL84" s="20"/>
      <c r="ABM84" s="20"/>
      <c r="ABN84" s="20"/>
      <c r="ABO84" s="20"/>
      <c r="ABP84" s="20"/>
      <c r="ABQ84" s="20"/>
      <c r="ABR84" s="20"/>
      <c r="ABS84" s="20"/>
      <c r="ABT84" s="20"/>
      <c r="ABU84" s="20"/>
      <c r="ABV84" s="20"/>
      <c r="ABW84" s="20"/>
      <c r="ABX84" s="20"/>
      <c r="ABY84" s="20"/>
      <c r="ABZ84" s="20"/>
      <c r="ACA84" s="20"/>
      <c r="ACB84" s="20"/>
      <c r="ACC84" s="20"/>
      <c r="ACD84" s="20"/>
      <c r="ACE84" s="20"/>
      <c r="ACF84" s="20"/>
      <c r="ACG84" s="20"/>
      <c r="ACH84" s="20"/>
      <c r="ACI84" s="20"/>
      <c r="ACJ84" s="20"/>
      <c r="ACK84" s="20"/>
      <c r="ACL84" s="20"/>
      <c r="ACM84" s="20"/>
      <c r="ACN84" s="20"/>
      <c r="ACO84" s="20"/>
      <c r="ACP84" s="20"/>
      <c r="ACQ84" s="20"/>
    </row>
    <row r="85" spans="1:771" s="62" customFormat="1" ht="48.95" customHeight="1">
      <c r="A85" s="20"/>
      <c r="B85" s="61" t="s">
        <v>375</v>
      </c>
      <c r="D85" s="61" t="s">
        <v>370</v>
      </c>
      <c r="F85" s="63" t="s">
        <v>370</v>
      </c>
      <c r="H85" s="61" t="s">
        <v>72</v>
      </c>
      <c r="J85" s="61" t="s">
        <v>365</v>
      </c>
      <c r="L85" s="61" t="s">
        <v>74</v>
      </c>
      <c r="N85" s="61" t="s">
        <v>103</v>
      </c>
      <c r="P85" s="61" t="s">
        <v>376</v>
      </c>
      <c r="R85" s="63" t="s">
        <v>77</v>
      </c>
      <c r="T85" s="73" t="s">
        <v>265</v>
      </c>
      <c r="U85" s="66"/>
      <c r="V85" s="67" t="s">
        <v>79</v>
      </c>
      <c r="W85" s="68"/>
      <c r="X85" s="67" t="s">
        <v>80</v>
      </c>
      <c r="Y85" s="68"/>
      <c r="Z85" s="67" t="s">
        <v>80</v>
      </c>
      <c r="AA85" s="68"/>
      <c r="AB85" s="67" t="s">
        <v>80</v>
      </c>
      <c r="AD85" s="63" t="s">
        <v>377</v>
      </c>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c r="JS85" s="20"/>
      <c r="JT85" s="20"/>
      <c r="JU85" s="20"/>
      <c r="JV85" s="20"/>
      <c r="JW85" s="20"/>
      <c r="JX85" s="20"/>
      <c r="JY85" s="20"/>
      <c r="JZ85" s="20"/>
      <c r="KA85" s="20"/>
      <c r="KB85" s="20"/>
      <c r="KC85" s="20"/>
      <c r="KD85" s="20"/>
      <c r="KE85" s="20"/>
      <c r="KF85" s="20"/>
      <c r="KG85" s="20"/>
      <c r="KH85" s="20"/>
      <c r="KI85" s="20"/>
      <c r="KJ85" s="20"/>
      <c r="KK85" s="20"/>
      <c r="KL85" s="20"/>
      <c r="KM85" s="20"/>
      <c r="KN85" s="20"/>
      <c r="KO85" s="20"/>
      <c r="KP85" s="20"/>
      <c r="KQ85" s="20"/>
      <c r="KR85" s="20"/>
      <c r="KS85" s="20"/>
      <c r="KT85" s="20"/>
      <c r="KU85" s="20"/>
      <c r="KV85" s="20"/>
      <c r="KW85" s="20"/>
      <c r="KX85" s="20"/>
      <c r="KY85" s="20"/>
      <c r="KZ85" s="20"/>
      <c r="LA85" s="20"/>
      <c r="LB85" s="20"/>
      <c r="LC85" s="20"/>
      <c r="LD85" s="20"/>
      <c r="LE85" s="20"/>
      <c r="LF85" s="20"/>
      <c r="LG85" s="20"/>
      <c r="LH85" s="20"/>
      <c r="LI85" s="20"/>
      <c r="LJ85" s="20"/>
      <c r="LK85" s="20"/>
      <c r="LL85" s="20"/>
      <c r="LM85" s="20"/>
      <c r="LN85" s="20"/>
      <c r="LO85" s="20"/>
      <c r="LP85" s="20"/>
      <c r="LQ85" s="20"/>
      <c r="LR85" s="20"/>
      <c r="LS85" s="20"/>
      <c r="LT85" s="20"/>
      <c r="LU85" s="20"/>
      <c r="LV85" s="20"/>
      <c r="LW85" s="20"/>
      <c r="LX85" s="20"/>
      <c r="LY85" s="20"/>
      <c r="LZ85" s="20"/>
      <c r="MA85" s="20"/>
      <c r="MB85" s="20"/>
      <c r="MC85" s="20"/>
      <c r="MD85" s="20"/>
      <c r="ME85" s="20"/>
      <c r="MF85" s="20"/>
      <c r="MG85" s="20"/>
      <c r="MH85" s="20"/>
      <c r="MI85" s="20"/>
      <c r="MJ85" s="20"/>
      <c r="MK85" s="20"/>
      <c r="ML85" s="20"/>
      <c r="MM85" s="20"/>
      <c r="MN85" s="20"/>
      <c r="MO85" s="20"/>
      <c r="MP85" s="20"/>
      <c r="MQ85" s="20"/>
      <c r="MR85" s="20"/>
      <c r="MS85" s="20"/>
      <c r="MT85" s="20"/>
      <c r="MU85" s="20"/>
      <c r="MV85" s="20"/>
      <c r="MW85" s="20"/>
      <c r="MX85" s="20"/>
      <c r="MY85" s="20"/>
      <c r="MZ85" s="20"/>
      <c r="NA85" s="20"/>
      <c r="NB85" s="20"/>
      <c r="NC85" s="20"/>
      <c r="ND85" s="20"/>
      <c r="NE85" s="20"/>
      <c r="NF85" s="20"/>
      <c r="NG85" s="20"/>
      <c r="NH85" s="20"/>
      <c r="NI85" s="20"/>
      <c r="NJ85" s="20"/>
      <c r="NK85" s="20"/>
      <c r="NL85" s="20"/>
      <c r="NM85" s="20"/>
      <c r="NN85" s="20"/>
      <c r="NO85" s="20"/>
      <c r="NP85" s="20"/>
      <c r="NQ85" s="20"/>
      <c r="NR85" s="20"/>
      <c r="NS85" s="20"/>
      <c r="NT85" s="20"/>
      <c r="NU85" s="20"/>
      <c r="NV85" s="20"/>
      <c r="NW85" s="20"/>
      <c r="NX85" s="20"/>
      <c r="NY85" s="20"/>
      <c r="NZ85" s="20"/>
      <c r="OA85" s="20"/>
      <c r="OB85" s="20"/>
      <c r="OC85" s="20"/>
      <c r="OD85" s="20"/>
      <c r="OE85" s="20"/>
      <c r="OF85" s="20"/>
      <c r="OG85" s="20"/>
      <c r="OH85" s="20"/>
      <c r="OI85" s="20"/>
      <c r="OJ85" s="20"/>
      <c r="OK85" s="20"/>
      <c r="OL85" s="20"/>
      <c r="OM85" s="20"/>
      <c r="ON85" s="20"/>
      <c r="OO85" s="20"/>
      <c r="OP85" s="20"/>
      <c r="OQ85" s="20"/>
      <c r="OR85" s="20"/>
      <c r="OS85" s="20"/>
      <c r="OT85" s="20"/>
      <c r="OU85" s="20"/>
      <c r="OV85" s="20"/>
      <c r="OW85" s="20"/>
      <c r="OX85" s="20"/>
      <c r="OY85" s="20"/>
      <c r="OZ85" s="20"/>
      <c r="PA85" s="20"/>
      <c r="PB85" s="20"/>
      <c r="PC85" s="20"/>
      <c r="PD85" s="20"/>
      <c r="PE85" s="20"/>
      <c r="PF85" s="20"/>
      <c r="PG85" s="20"/>
      <c r="PH85" s="20"/>
      <c r="PI85" s="20"/>
      <c r="PJ85" s="20"/>
      <c r="PK85" s="20"/>
      <c r="PL85" s="20"/>
      <c r="PM85" s="20"/>
      <c r="PN85" s="20"/>
      <c r="PO85" s="20"/>
      <c r="PP85" s="20"/>
      <c r="PQ85" s="20"/>
      <c r="PR85" s="20"/>
      <c r="PS85" s="20"/>
      <c r="PT85" s="20"/>
      <c r="PU85" s="20"/>
      <c r="PV85" s="20"/>
      <c r="PW85" s="20"/>
      <c r="PX85" s="20"/>
      <c r="PY85" s="20"/>
      <c r="PZ85" s="20"/>
      <c r="QA85" s="20"/>
      <c r="QB85" s="20"/>
      <c r="QC85" s="20"/>
      <c r="QD85" s="20"/>
      <c r="QE85" s="20"/>
      <c r="QF85" s="20"/>
      <c r="QG85" s="20"/>
      <c r="QH85" s="20"/>
      <c r="QI85" s="20"/>
      <c r="QJ85" s="20"/>
      <c r="QK85" s="20"/>
      <c r="QL85" s="20"/>
      <c r="QM85" s="20"/>
      <c r="QN85" s="20"/>
      <c r="QO85" s="20"/>
      <c r="QP85" s="20"/>
      <c r="QQ85" s="20"/>
      <c r="QR85" s="20"/>
      <c r="QS85" s="20"/>
      <c r="QT85" s="20"/>
      <c r="QU85" s="20"/>
      <c r="QV85" s="20"/>
      <c r="QW85" s="20"/>
      <c r="QX85" s="20"/>
      <c r="QY85" s="20"/>
      <c r="QZ85" s="20"/>
      <c r="RA85" s="20"/>
      <c r="RB85" s="20"/>
      <c r="RC85" s="20"/>
      <c r="RD85" s="20"/>
      <c r="RE85" s="20"/>
      <c r="RF85" s="20"/>
      <c r="RG85" s="20"/>
      <c r="RH85" s="20"/>
      <c r="RI85" s="20"/>
      <c r="RJ85" s="20"/>
      <c r="RK85" s="20"/>
      <c r="RL85" s="20"/>
      <c r="RM85" s="20"/>
      <c r="RN85" s="20"/>
      <c r="RO85" s="20"/>
      <c r="RP85" s="20"/>
      <c r="RQ85" s="20"/>
      <c r="RR85" s="20"/>
      <c r="RS85" s="20"/>
      <c r="RT85" s="20"/>
      <c r="RU85" s="20"/>
      <c r="RV85" s="20"/>
      <c r="RW85" s="20"/>
      <c r="RX85" s="20"/>
      <c r="RY85" s="20"/>
      <c r="RZ85" s="20"/>
      <c r="SA85" s="20"/>
      <c r="SB85" s="20"/>
      <c r="SC85" s="20"/>
      <c r="SD85" s="20"/>
      <c r="SE85" s="20"/>
      <c r="SF85" s="20"/>
      <c r="SG85" s="20"/>
      <c r="SH85" s="20"/>
      <c r="SI85" s="20"/>
      <c r="SJ85" s="20"/>
      <c r="SK85" s="20"/>
      <c r="SL85" s="20"/>
      <c r="SM85" s="20"/>
      <c r="SN85" s="20"/>
      <c r="SO85" s="20"/>
      <c r="SP85" s="20"/>
      <c r="SQ85" s="20"/>
      <c r="SR85" s="20"/>
      <c r="SS85" s="20"/>
      <c r="ST85" s="20"/>
      <c r="SU85" s="20"/>
      <c r="SV85" s="20"/>
      <c r="SW85" s="20"/>
      <c r="SX85" s="20"/>
      <c r="SY85" s="20"/>
      <c r="SZ85" s="20"/>
      <c r="TA85" s="20"/>
      <c r="TB85" s="20"/>
      <c r="TC85" s="20"/>
      <c r="TD85" s="20"/>
      <c r="TE85" s="20"/>
      <c r="TF85" s="20"/>
      <c r="TG85" s="20"/>
      <c r="TH85" s="20"/>
      <c r="TI85" s="20"/>
      <c r="TJ85" s="20"/>
      <c r="TK85" s="20"/>
      <c r="TL85" s="20"/>
      <c r="TM85" s="20"/>
      <c r="TN85" s="20"/>
      <c r="TO85" s="20"/>
      <c r="TP85" s="20"/>
      <c r="TQ85" s="20"/>
      <c r="TR85" s="20"/>
      <c r="TS85" s="20"/>
      <c r="TT85" s="20"/>
      <c r="TU85" s="20"/>
      <c r="TV85" s="20"/>
      <c r="TW85" s="20"/>
      <c r="TX85" s="20"/>
      <c r="TY85" s="20"/>
      <c r="TZ85" s="20"/>
      <c r="UA85" s="20"/>
      <c r="UB85" s="20"/>
      <c r="UC85" s="20"/>
      <c r="UD85" s="20"/>
      <c r="UE85" s="20"/>
      <c r="UF85" s="20"/>
      <c r="UG85" s="20"/>
      <c r="UH85" s="20"/>
      <c r="UI85" s="20"/>
      <c r="UJ85" s="20"/>
      <c r="UK85" s="20"/>
      <c r="UL85" s="20"/>
      <c r="UM85" s="20"/>
      <c r="UN85" s="20"/>
      <c r="UO85" s="20"/>
      <c r="UP85" s="20"/>
      <c r="UQ85" s="20"/>
      <c r="UR85" s="20"/>
      <c r="US85" s="20"/>
      <c r="UT85" s="20"/>
      <c r="UU85" s="20"/>
      <c r="UV85" s="20"/>
      <c r="UW85" s="20"/>
      <c r="UX85" s="20"/>
      <c r="UY85" s="20"/>
      <c r="UZ85" s="20"/>
      <c r="VA85" s="20"/>
      <c r="VB85" s="20"/>
      <c r="VC85" s="20"/>
      <c r="VD85" s="20"/>
      <c r="VE85" s="20"/>
      <c r="VF85" s="20"/>
      <c r="VG85" s="20"/>
      <c r="VH85" s="20"/>
      <c r="VI85" s="20"/>
      <c r="VJ85" s="20"/>
      <c r="VK85" s="20"/>
      <c r="VL85" s="20"/>
      <c r="VM85" s="20"/>
      <c r="VN85" s="20"/>
      <c r="VO85" s="20"/>
      <c r="VP85" s="20"/>
      <c r="VQ85" s="20"/>
      <c r="VR85" s="20"/>
      <c r="VS85" s="20"/>
      <c r="VT85" s="20"/>
      <c r="VU85" s="20"/>
      <c r="VV85" s="20"/>
      <c r="VW85" s="20"/>
      <c r="VX85" s="20"/>
      <c r="VY85" s="20"/>
      <c r="VZ85" s="20"/>
      <c r="WA85" s="20"/>
      <c r="WB85" s="20"/>
      <c r="WC85" s="20"/>
      <c r="WD85" s="20"/>
      <c r="WE85" s="20"/>
      <c r="WF85" s="20"/>
      <c r="WG85" s="20"/>
      <c r="WH85" s="20"/>
      <c r="WI85" s="20"/>
      <c r="WJ85" s="20"/>
      <c r="WK85" s="20"/>
      <c r="WL85" s="20"/>
      <c r="WM85" s="20"/>
      <c r="WN85" s="20"/>
      <c r="WO85" s="20"/>
      <c r="WP85" s="20"/>
      <c r="WQ85" s="20"/>
      <c r="WR85" s="20"/>
      <c r="WS85" s="20"/>
      <c r="WT85" s="20"/>
      <c r="WU85" s="20"/>
      <c r="WV85" s="20"/>
      <c r="WW85" s="20"/>
      <c r="WX85" s="20"/>
      <c r="WY85" s="20"/>
      <c r="WZ85" s="20"/>
      <c r="XA85" s="20"/>
      <c r="XB85" s="20"/>
      <c r="XC85" s="20"/>
      <c r="XD85" s="20"/>
      <c r="XE85" s="20"/>
      <c r="XF85" s="20"/>
      <c r="XG85" s="20"/>
      <c r="XH85" s="20"/>
      <c r="XI85" s="20"/>
      <c r="XJ85" s="20"/>
      <c r="XK85" s="20"/>
      <c r="XL85" s="20"/>
      <c r="XM85" s="20"/>
      <c r="XN85" s="20"/>
      <c r="XO85" s="20"/>
      <c r="XP85" s="20"/>
      <c r="XQ85" s="20"/>
      <c r="XR85" s="20"/>
      <c r="XS85" s="20"/>
      <c r="XT85" s="20"/>
      <c r="XU85" s="20"/>
      <c r="XV85" s="20"/>
      <c r="XW85" s="20"/>
      <c r="XX85" s="20"/>
      <c r="XY85" s="20"/>
      <c r="XZ85" s="20"/>
      <c r="YA85" s="20"/>
      <c r="YB85" s="20"/>
      <c r="YC85" s="20"/>
      <c r="YD85" s="20"/>
      <c r="YE85" s="20"/>
      <c r="YF85" s="20"/>
      <c r="YG85" s="20"/>
      <c r="YH85" s="20"/>
      <c r="YI85" s="20"/>
      <c r="YJ85" s="20"/>
      <c r="YK85" s="20"/>
      <c r="YL85" s="20"/>
      <c r="YM85" s="20"/>
      <c r="YN85" s="20"/>
      <c r="YO85" s="20"/>
      <c r="YP85" s="20"/>
      <c r="YQ85" s="20"/>
      <c r="YR85" s="20"/>
      <c r="YS85" s="20"/>
      <c r="YT85" s="20"/>
      <c r="YU85" s="20"/>
      <c r="YV85" s="20"/>
      <c r="YW85" s="20"/>
      <c r="YX85" s="20"/>
      <c r="YY85" s="20"/>
      <c r="YZ85" s="20"/>
      <c r="ZA85" s="20"/>
      <c r="ZB85" s="20"/>
      <c r="ZC85" s="20"/>
      <c r="ZD85" s="20"/>
      <c r="ZE85" s="20"/>
      <c r="ZF85" s="20"/>
      <c r="ZG85" s="20"/>
      <c r="ZH85" s="20"/>
      <c r="ZI85" s="20"/>
      <c r="ZJ85" s="20"/>
      <c r="ZK85" s="20"/>
      <c r="ZL85" s="20"/>
      <c r="ZM85" s="20"/>
      <c r="ZN85" s="20"/>
      <c r="ZO85" s="20"/>
      <c r="ZP85" s="20"/>
      <c r="ZQ85" s="20"/>
      <c r="ZR85" s="20"/>
      <c r="ZS85" s="20"/>
      <c r="ZT85" s="20"/>
      <c r="ZU85" s="20"/>
      <c r="ZV85" s="20"/>
      <c r="ZW85" s="20"/>
      <c r="ZX85" s="20"/>
      <c r="ZY85" s="20"/>
      <c r="ZZ85" s="20"/>
      <c r="AAA85" s="20"/>
      <c r="AAB85" s="20"/>
      <c r="AAC85" s="20"/>
      <c r="AAD85" s="20"/>
      <c r="AAE85" s="20"/>
      <c r="AAF85" s="20"/>
      <c r="AAG85" s="20"/>
      <c r="AAH85" s="20"/>
      <c r="AAI85" s="20"/>
      <c r="AAJ85" s="20"/>
      <c r="AAK85" s="20"/>
      <c r="AAL85" s="20"/>
      <c r="AAM85" s="20"/>
      <c r="AAN85" s="20"/>
      <c r="AAO85" s="20"/>
      <c r="AAP85" s="20"/>
      <c r="AAQ85" s="20"/>
      <c r="AAR85" s="20"/>
      <c r="AAS85" s="20"/>
      <c r="AAT85" s="20"/>
      <c r="AAU85" s="20"/>
      <c r="AAV85" s="20"/>
      <c r="AAW85" s="20"/>
      <c r="AAX85" s="20"/>
      <c r="AAY85" s="20"/>
      <c r="AAZ85" s="20"/>
      <c r="ABA85" s="20"/>
      <c r="ABB85" s="20"/>
      <c r="ABC85" s="20"/>
      <c r="ABD85" s="20"/>
      <c r="ABE85" s="20"/>
      <c r="ABF85" s="20"/>
      <c r="ABG85" s="20"/>
      <c r="ABH85" s="20"/>
      <c r="ABI85" s="20"/>
      <c r="ABJ85" s="20"/>
      <c r="ABK85" s="20"/>
      <c r="ABL85" s="20"/>
      <c r="ABM85" s="20"/>
      <c r="ABN85" s="20"/>
      <c r="ABO85" s="20"/>
      <c r="ABP85" s="20"/>
      <c r="ABQ85" s="20"/>
      <c r="ABR85" s="20"/>
      <c r="ABS85" s="20"/>
      <c r="ABT85" s="20"/>
      <c r="ABU85" s="20"/>
      <c r="ABV85" s="20"/>
      <c r="ABW85" s="20"/>
      <c r="ABX85" s="20"/>
      <c r="ABY85" s="20"/>
      <c r="ABZ85" s="20"/>
      <c r="ACA85" s="20"/>
      <c r="ACB85" s="20"/>
      <c r="ACC85" s="20"/>
      <c r="ACD85" s="20"/>
      <c r="ACE85" s="20"/>
      <c r="ACF85" s="20"/>
      <c r="ACG85" s="20"/>
      <c r="ACH85" s="20"/>
      <c r="ACI85" s="20"/>
      <c r="ACJ85" s="20"/>
      <c r="ACK85" s="20"/>
      <c r="ACL85" s="20"/>
      <c r="ACM85" s="20"/>
      <c r="ACN85" s="20"/>
      <c r="ACO85" s="20"/>
      <c r="ACP85" s="20"/>
      <c r="ACQ85" s="20"/>
    </row>
    <row r="86" spans="1:771" s="62" customFormat="1" ht="56.1" customHeight="1">
      <c r="A86" s="20"/>
      <c r="B86" s="61" t="s">
        <v>375</v>
      </c>
      <c r="D86" s="61" t="s">
        <v>362</v>
      </c>
      <c r="F86" s="63" t="s">
        <v>363</v>
      </c>
      <c r="H86" s="61" t="s">
        <v>72</v>
      </c>
      <c r="J86" s="61" t="s">
        <v>365</v>
      </c>
      <c r="L86" s="61" t="s">
        <v>74</v>
      </c>
      <c r="N86" s="61" t="s">
        <v>103</v>
      </c>
      <c r="P86" s="61" t="s">
        <v>376</v>
      </c>
      <c r="R86" s="63" t="s">
        <v>77</v>
      </c>
      <c r="T86" s="73" t="s">
        <v>265</v>
      </c>
      <c r="U86" s="66"/>
      <c r="V86" s="67" t="s">
        <v>79</v>
      </c>
      <c r="W86" s="68"/>
      <c r="X86" s="67" t="s">
        <v>80</v>
      </c>
      <c r="Y86" s="68"/>
      <c r="Z86" s="67" t="s">
        <v>80</v>
      </c>
      <c r="AA86" s="68"/>
      <c r="AB86" s="67" t="s">
        <v>80</v>
      </c>
      <c r="AD86" s="63" t="s">
        <v>377</v>
      </c>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c r="JS86" s="20"/>
      <c r="JT86" s="20"/>
      <c r="JU86" s="20"/>
      <c r="JV86" s="20"/>
      <c r="JW86" s="20"/>
      <c r="JX86" s="20"/>
      <c r="JY86" s="20"/>
      <c r="JZ86" s="20"/>
      <c r="KA86" s="20"/>
      <c r="KB86" s="20"/>
      <c r="KC86" s="20"/>
      <c r="KD86" s="20"/>
      <c r="KE86" s="20"/>
      <c r="KF86" s="20"/>
      <c r="KG86" s="20"/>
      <c r="KH86" s="20"/>
      <c r="KI86" s="20"/>
      <c r="KJ86" s="20"/>
      <c r="KK86" s="20"/>
      <c r="KL86" s="20"/>
      <c r="KM86" s="20"/>
      <c r="KN86" s="20"/>
      <c r="KO86" s="20"/>
      <c r="KP86" s="20"/>
      <c r="KQ86" s="20"/>
      <c r="KR86" s="20"/>
      <c r="KS86" s="20"/>
      <c r="KT86" s="20"/>
      <c r="KU86" s="20"/>
      <c r="KV86" s="20"/>
      <c r="KW86" s="20"/>
      <c r="KX86" s="20"/>
      <c r="KY86" s="20"/>
      <c r="KZ86" s="20"/>
      <c r="LA86" s="20"/>
      <c r="LB86" s="20"/>
      <c r="LC86" s="20"/>
      <c r="LD86" s="20"/>
      <c r="LE86" s="20"/>
      <c r="LF86" s="20"/>
      <c r="LG86" s="20"/>
      <c r="LH86" s="20"/>
      <c r="LI86" s="20"/>
      <c r="LJ86" s="20"/>
      <c r="LK86" s="20"/>
      <c r="LL86" s="20"/>
      <c r="LM86" s="20"/>
      <c r="LN86" s="20"/>
      <c r="LO86" s="20"/>
      <c r="LP86" s="20"/>
      <c r="LQ86" s="20"/>
      <c r="LR86" s="20"/>
      <c r="LS86" s="20"/>
      <c r="LT86" s="20"/>
      <c r="LU86" s="20"/>
      <c r="LV86" s="20"/>
      <c r="LW86" s="20"/>
      <c r="LX86" s="20"/>
      <c r="LY86" s="20"/>
      <c r="LZ86" s="20"/>
      <c r="MA86" s="20"/>
      <c r="MB86" s="20"/>
      <c r="MC86" s="20"/>
      <c r="MD86" s="20"/>
      <c r="ME86" s="20"/>
      <c r="MF86" s="20"/>
      <c r="MG86" s="20"/>
      <c r="MH86" s="20"/>
      <c r="MI86" s="20"/>
      <c r="MJ86" s="20"/>
      <c r="MK86" s="20"/>
      <c r="ML86" s="20"/>
      <c r="MM86" s="20"/>
      <c r="MN86" s="20"/>
      <c r="MO86" s="20"/>
      <c r="MP86" s="20"/>
      <c r="MQ86" s="20"/>
      <c r="MR86" s="20"/>
      <c r="MS86" s="20"/>
      <c r="MT86" s="20"/>
      <c r="MU86" s="20"/>
      <c r="MV86" s="20"/>
      <c r="MW86" s="20"/>
      <c r="MX86" s="20"/>
      <c r="MY86" s="20"/>
      <c r="MZ86" s="20"/>
      <c r="NA86" s="20"/>
      <c r="NB86" s="20"/>
      <c r="NC86" s="20"/>
      <c r="ND86" s="20"/>
      <c r="NE86" s="20"/>
      <c r="NF86" s="20"/>
      <c r="NG86" s="20"/>
      <c r="NH86" s="20"/>
      <c r="NI86" s="20"/>
      <c r="NJ86" s="20"/>
      <c r="NK86" s="20"/>
      <c r="NL86" s="20"/>
      <c r="NM86" s="20"/>
      <c r="NN86" s="20"/>
      <c r="NO86" s="20"/>
      <c r="NP86" s="20"/>
      <c r="NQ86" s="20"/>
      <c r="NR86" s="20"/>
      <c r="NS86" s="20"/>
      <c r="NT86" s="20"/>
      <c r="NU86" s="20"/>
      <c r="NV86" s="20"/>
      <c r="NW86" s="20"/>
      <c r="NX86" s="20"/>
      <c r="NY86" s="20"/>
      <c r="NZ86" s="20"/>
      <c r="OA86" s="20"/>
      <c r="OB86" s="20"/>
      <c r="OC86" s="20"/>
      <c r="OD86" s="20"/>
      <c r="OE86" s="20"/>
      <c r="OF86" s="20"/>
      <c r="OG86" s="20"/>
      <c r="OH86" s="20"/>
      <c r="OI86" s="20"/>
      <c r="OJ86" s="20"/>
      <c r="OK86" s="20"/>
      <c r="OL86" s="20"/>
      <c r="OM86" s="20"/>
      <c r="ON86" s="20"/>
      <c r="OO86" s="20"/>
      <c r="OP86" s="20"/>
      <c r="OQ86" s="20"/>
      <c r="OR86" s="20"/>
      <c r="OS86" s="20"/>
      <c r="OT86" s="20"/>
      <c r="OU86" s="20"/>
      <c r="OV86" s="20"/>
      <c r="OW86" s="20"/>
      <c r="OX86" s="20"/>
      <c r="OY86" s="20"/>
      <c r="OZ86" s="20"/>
      <c r="PA86" s="20"/>
      <c r="PB86" s="20"/>
      <c r="PC86" s="20"/>
      <c r="PD86" s="20"/>
      <c r="PE86" s="20"/>
      <c r="PF86" s="20"/>
      <c r="PG86" s="20"/>
      <c r="PH86" s="20"/>
      <c r="PI86" s="20"/>
      <c r="PJ86" s="20"/>
      <c r="PK86" s="20"/>
      <c r="PL86" s="20"/>
      <c r="PM86" s="20"/>
      <c r="PN86" s="20"/>
      <c r="PO86" s="20"/>
      <c r="PP86" s="20"/>
      <c r="PQ86" s="20"/>
      <c r="PR86" s="20"/>
      <c r="PS86" s="20"/>
      <c r="PT86" s="20"/>
      <c r="PU86" s="20"/>
      <c r="PV86" s="20"/>
      <c r="PW86" s="20"/>
      <c r="PX86" s="20"/>
      <c r="PY86" s="20"/>
      <c r="PZ86" s="20"/>
      <c r="QA86" s="20"/>
      <c r="QB86" s="20"/>
      <c r="QC86" s="20"/>
      <c r="QD86" s="20"/>
      <c r="QE86" s="20"/>
      <c r="QF86" s="20"/>
      <c r="QG86" s="20"/>
      <c r="QH86" s="20"/>
      <c r="QI86" s="20"/>
      <c r="QJ86" s="20"/>
      <c r="QK86" s="20"/>
      <c r="QL86" s="20"/>
      <c r="QM86" s="20"/>
      <c r="QN86" s="20"/>
      <c r="QO86" s="20"/>
      <c r="QP86" s="20"/>
      <c r="QQ86" s="20"/>
      <c r="QR86" s="20"/>
      <c r="QS86" s="20"/>
      <c r="QT86" s="20"/>
      <c r="QU86" s="20"/>
      <c r="QV86" s="20"/>
      <c r="QW86" s="20"/>
      <c r="QX86" s="20"/>
      <c r="QY86" s="20"/>
      <c r="QZ86" s="20"/>
      <c r="RA86" s="20"/>
      <c r="RB86" s="20"/>
      <c r="RC86" s="20"/>
      <c r="RD86" s="20"/>
      <c r="RE86" s="20"/>
      <c r="RF86" s="20"/>
      <c r="RG86" s="20"/>
      <c r="RH86" s="20"/>
      <c r="RI86" s="20"/>
      <c r="RJ86" s="20"/>
      <c r="RK86" s="20"/>
      <c r="RL86" s="20"/>
      <c r="RM86" s="20"/>
      <c r="RN86" s="20"/>
      <c r="RO86" s="20"/>
      <c r="RP86" s="20"/>
      <c r="RQ86" s="20"/>
      <c r="RR86" s="20"/>
      <c r="RS86" s="20"/>
      <c r="RT86" s="20"/>
      <c r="RU86" s="20"/>
      <c r="RV86" s="20"/>
      <c r="RW86" s="20"/>
      <c r="RX86" s="20"/>
      <c r="RY86" s="20"/>
      <c r="RZ86" s="20"/>
      <c r="SA86" s="20"/>
      <c r="SB86" s="20"/>
      <c r="SC86" s="20"/>
      <c r="SD86" s="20"/>
      <c r="SE86" s="20"/>
      <c r="SF86" s="20"/>
      <c r="SG86" s="20"/>
      <c r="SH86" s="20"/>
      <c r="SI86" s="20"/>
      <c r="SJ86" s="20"/>
      <c r="SK86" s="20"/>
      <c r="SL86" s="20"/>
      <c r="SM86" s="20"/>
      <c r="SN86" s="20"/>
      <c r="SO86" s="20"/>
      <c r="SP86" s="20"/>
      <c r="SQ86" s="20"/>
      <c r="SR86" s="20"/>
      <c r="SS86" s="20"/>
      <c r="ST86" s="20"/>
      <c r="SU86" s="20"/>
      <c r="SV86" s="20"/>
      <c r="SW86" s="20"/>
      <c r="SX86" s="20"/>
      <c r="SY86" s="20"/>
      <c r="SZ86" s="20"/>
      <c r="TA86" s="20"/>
      <c r="TB86" s="20"/>
      <c r="TC86" s="20"/>
      <c r="TD86" s="20"/>
      <c r="TE86" s="20"/>
      <c r="TF86" s="20"/>
      <c r="TG86" s="20"/>
      <c r="TH86" s="20"/>
      <c r="TI86" s="20"/>
      <c r="TJ86" s="20"/>
      <c r="TK86" s="20"/>
      <c r="TL86" s="20"/>
      <c r="TM86" s="20"/>
      <c r="TN86" s="20"/>
      <c r="TO86" s="20"/>
      <c r="TP86" s="20"/>
      <c r="TQ86" s="20"/>
      <c r="TR86" s="20"/>
      <c r="TS86" s="20"/>
      <c r="TT86" s="20"/>
      <c r="TU86" s="20"/>
      <c r="TV86" s="20"/>
      <c r="TW86" s="20"/>
      <c r="TX86" s="20"/>
      <c r="TY86" s="20"/>
      <c r="TZ86" s="20"/>
      <c r="UA86" s="20"/>
      <c r="UB86" s="20"/>
      <c r="UC86" s="20"/>
      <c r="UD86" s="20"/>
      <c r="UE86" s="20"/>
      <c r="UF86" s="20"/>
      <c r="UG86" s="20"/>
      <c r="UH86" s="20"/>
      <c r="UI86" s="20"/>
      <c r="UJ86" s="20"/>
      <c r="UK86" s="20"/>
      <c r="UL86" s="20"/>
      <c r="UM86" s="20"/>
      <c r="UN86" s="20"/>
      <c r="UO86" s="20"/>
      <c r="UP86" s="20"/>
      <c r="UQ86" s="20"/>
      <c r="UR86" s="20"/>
      <c r="US86" s="20"/>
      <c r="UT86" s="20"/>
      <c r="UU86" s="20"/>
      <c r="UV86" s="20"/>
      <c r="UW86" s="20"/>
      <c r="UX86" s="20"/>
      <c r="UY86" s="20"/>
      <c r="UZ86" s="20"/>
      <c r="VA86" s="20"/>
      <c r="VB86" s="20"/>
      <c r="VC86" s="20"/>
      <c r="VD86" s="20"/>
      <c r="VE86" s="20"/>
      <c r="VF86" s="20"/>
      <c r="VG86" s="20"/>
      <c r="VH86" s="20"/>
      <c r="VI86" s="20"/>
      <c r="VJ86" s="20"/>
      <c r="VK86" s="20"/>
      <c r="VL86" s="20"/>
      <c r="VM86" s="20"/>
      <c r="VN86" s="20"/>
      <c r="VO86" s="20"/>
      <c r="VP86" s="20"/>
      <c r="VQ86" s="20"/>
      <c r="VR86" s="20"/>
      <c r="VS86" s="20"/>
      <c r="VT86" s="20"/>
      <c r="VU86" s="20"/>
      <c r="VV86" s="20"/>
      <c r="VW86" s="20"/>
      <c r="VX86" s="20"/>
      <c r="VY86" s="20"/>
      <c r="VZ86" s="20"/>
      <c r="WA86" s="20"/>
      <c r="WB86" s="20"/>
      <c r="WC86" s="20"/>
      <c r="WD86" s="20"/>
      <c r="WE86" s="20"/>
      <c r="WF86" s="20"/>
      <c r="WG86" s="20"/>
      <c r="WH86" s="20"/>
      <c r="WI86" s="20"/>
      <c r="WJ86" s="20"/>
      <c r="WK86" s="20"/>
      <c r="WL86" s="20"/>
      <c r="WM86" s="20"/>
      <c r="WN86" s="20"/>
      <c r="WO86" s="20"/>
      <c r="WP86" s="20"/>
      <c r="WQ86" s="20"/>
      <c r="WR86" s="20"/>
      <c r="WS86" s="20"/>
      <c r="WT86" s="20"/>
      <c r="WU86" s="20"/>
      <c r="WV86" s="20"/>
      <c r="WW86" s="20"/>
      <c r="WX86" s="20"/>
      <c r="WY86" s="20"/>
      <c r="WZ86" s="20"/>
      <c r="XA86" s="20"/>
      <c r="XB86" s="20"/>
      <c r="XC86" s="20"/>
      <c r="XD86" s="20"/>
      <c r="XE86" s="20"/>
      <c r="XF86" s="20"/>
      <c r="XG86" s="20"/>
      <c r="XH86" s="20"/>
      <c r="XI86" s="20"/>
      <c r="XJ86" s="20"/>
      <c r="XK86" s="20"/>
      <c r="XL86" s="20"/>
      <c r="XM86" s="20"/>
      <c r="XN86" s="20"/>
      <c r="XO86" s="20"/>
      <c r="XP86" s="20"/>
      <c r="XQ86" s="20"/>
      <c r="XR86" s="20"/>
      <c r="XS86" s="20"/>
      <c r="XT86" s="20"/>
      <c r="XU86" s="20"/>
      <c r="XV86" s="20"/>
      <c r="XW86" s="20"/>
      <c r="XX86" s="20"/>
      <c r="XY86" s="20"/>
      <c r="XZ86" s="20"/>
      <c r="YA86" s="20"/>
      <c r="YB86" s="20"/>
      <c r="YC86" s="20"/>
      <c r="YD86" s="20"/>
      <c r="YE86" s="20"/>
      <c r="YF86" s="20"/>
      <c r="YG86" s="20"/>
      <c r="YH86" s="20"/>
      <c r="YI86" s="20"/>
      <c r="YJ86" s="20"/>
      <c r="YK86" s="20"/>
      <c r="YL86" s="20"/>
      <c r="YM86" s="20"/>
      <c r="YN86" s="20"/>
      <c r="YO86" s="20"/>
      <c r="YP86" s="20"/>
      <c r="YQ86" s="20"/>
      <c r="YR86" s="20"/>
      <c r="YS86" s="20"/>
      <c r="YT86" s="20"/>
      <c r="YU86" s="20"/>
      <c r="YV86" s="20"/>
      <c r="YW86" s="20"/>
      <c r="YX86" s="20"/>
      <c r="YY86" s="20"/>
      <c r="YZ86" s="20"/>
      <c r="ZA86" s="20"/>
      <c r="ZB86" s="20"/>
      <c r="ZC86" s="20"/>
      <c r="ZD86" s="20"/>
      <c r="ZE86" s="20"/>
      <c r="ZF86" s="20"/>
      <c r="ZG86" s="20"/>
      <c r="ZH86" s="20"/>
      <c r="ZI86" s="20"/>
      <c r="ZJ86" s="20"/>
      <c r="ZK86" s="20"/>
      <c r="ZL86" s="20"/>
      <c r="ZM86" s="20"/>
      <c r="ZN86" s="20"/>
      <c r="ZO86" s="20"/>
      <c r="ZP86" s="20"/>
      <c r="ZQ86" s="20"/>
      <c r="ZR86" s="20"/>
      <c r="ZS86" s="20"/>
      <c r="ZT86" s="20"/>
      <c r="ZU86" s="20"/>
      <c r="ZV86" s="20"/>
      <c r="ZW86" s="20"/>
      <c r="ZX86" s="20"/>
      <c r="ZY86" s="20"/>
      <c r="ZZ86" s="20"/>
      <c r="AAA86" s="20"/>
      <c r="AAB86" s="20"/>
      <c r="AAC86" s="20"/>
      <c r="AAD86" s="20"/>
      <c r="AAE86" s="20"/>
      <c r="AAF86" s="20"/>
      <c r="AAG86" s="20"/>
      <c r="AAH86" s="20"/>
      <c r="AAI86" s="20"/>
      <c r="AAJ86" s="20"/>
      <c r="AAK86" s="20"/>
      <c r="AAL86" s="20"/>
      <c r="AAM86" s="20"/>
      <c r="AAN86" s="20"/>
      <c r="AAO86" s="20"/>
      <c r="AAP86" s="20"/>
      <c r="AAQ86" s="20"/>
      <c r="AAR86" s="20"/>
      <c r="AAS86" s="20"/>
      <c r="AAT86" s="20"/>
      <c r="AAU86" s="20"/>
      <c r="AAV86" s="20"/>
      <c r="AAW86" s="20"/>
      <c r="AAX86" s="20"/>
      <c r="AAY86" s="20"/>
      <c r="AAZ86" s="20"/>
      <c r="ABA86" s="20"/>
      <c r="ABB86" s="20"/>
      <c r="ABC86" s="20"/>
      <c r="ABD86" s="20"/>
      <c r="ABE86" s="20"/>
      <c r="ABF86" s="20"/>
      <c r="ABG86" s="20"/>
      <c r="ABH86" s="20"/>
      <c r="ABI86" s="20"/>
      <c r="ABJ86" s="20"/>
      <c r="ABK86" s="20"/>
      <c r="ABL86" s="20"/>
      <c r="ABM86" s="20"/>
      <c r="ABN86" s="20"/>
      <c r="ABO86" s="20"/>
      <c r="ABP86" s="20"/>
      <c r="ABQ86" s="20"/>
      <c r="ABR86" s="20"/>
      <c r="ABS86" s="20"/>
      <c r="ABT86" s="20"/>
      <c r="ABU86" s="20"/>
      <c r="ABV86" s="20"/>
      <c r="ABW86" s="20"/>
      <c r="ABX86" s="20"/>
      <c r="ABY86" s="20"/>
      <c r="ABZ86" s="20"/>
      <c r="ACA86" s="20"/>
      <c r="ACB86" s="20"/>
      <c r="ACC86" s="20"/>
      <c r="ACD86" s="20"/>
      <c r="ACE86" s="20"/>
      <c r="ACF86" s="20"/>
      <c r="ACG86" s="20"/>
      <c r="ACH86" s="20"/>
      <c r="ACI86" s="20"/>
      <c r="ACJ86" s="20"/>
      <c r="ACK86" s="20"/>
      <c r="ACL86" s="20"/>
      <c r="ACM86" s="20"/>
      <c r="ACN86" s="20"/>
      <c r="ACO86" s="20"/>
      <c r="ACP86" s="20"/>
      <c r="ACQ86" s="20"/>
    </row>
    <row r="87" spans="1:771" s="62" customFormat="1" ht="50.1" customHeight="1">
      <c r="A87" s="20"/>
      <c r="B87" s="61" t="s">
        <v>375</v>
      </c>
      <c r="D87" s="61" t="s">
        <v>370</v>
      </c>
      <c r="F87" s="63" t="s">
        <v>370</v>
      </c>
      <c r="H87" s="61" t="s">
        <v>116</v>
      </c>
      <c r="J87" s="61" t="s">
        <v>365</v>
      </c>
      <c r="L87" s="61" t="s">
        <v>74</v>
      </c>
      <c r="N87" s="61" t="s">
        <v>103</v>
      </c>
      <c r="P87" s="61" t="s">
        <v>376</v>
      </c>
      <c r="R87" s="63" t="s">
        <v>77</v>
      </c>
      <c r="T87" s="73" t="s">
        <v>265</v>
      </c>
      <c r="U87" s="66"/>
      <c r="V87" s="67" t="s">
        <v>79</v>
      </c>
      <c r="W87" s="68"/>
      <c r="X87" s="67" t="s">
        <v>80</v>
      </c>
      <c r="Y87" s="68"/>
      <c r="Z87" s="67" t="s">
        <v>80</v>
      </c>
      <c r="AA87" s="68"/>
      <c r="AB87" s="67" t="s">
        <v>80</v>
      </c>
      <c r="AD87" s="63" t="s">
        <v>377</v>
      </c>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c r="LO87" s="20"/>
      <c r="LP87" s="20"/>
      <c r="LQ87" s="20"/>
      <c r="LR87" s="20"/>
      <c r="LS87" s="20"/>
      <c r="LT87" s="20"/>
      <c r="LU87" s="20"/>
      <c r="LV87" s="20"/>
      <c r="LW87" s="20"/>
      <c r="LX87" s="20"/>
      <c r="LY87" s="20"/>
      <c r="LZ87" s="20"/>
      <c r="MA87" s="20"/>
      <c r="MB87" s="20"/>
      <c r="MC87" s="20"/>
      <c r="MD87" s="20"/>
      <c r="ME87" s="20"/>
      <c r="MF87" s="20"/>
      <c r="MG87" s="20"/>
      <c r="MH87" s="20"/>
      <c r="MI87" s="20"/>
      <c r="MJ87" s="20"/>
      <c r="MK87" s="20"/>
      <c r="ML87" s="20"/>
      <c r="MM87" s="20"/>
      <c r="MN87" s="20"/>
      <c r="MO87" s="20"/>
      <c r="MP87" s="20"/>
      <c r="MQ87" s="20"/>
      <c r="MR87" s="20"/>
      <c r="MS87" s="20"/>
      <c r="MT87" s="20"/>
      <c r="MU87" s="20"/>
      <c r="MV87" s="20"/>
      <c r="MW87" s="20"/>
      <c r="MX87" s="20"/>
      <c r="MY87" s="20"/>
      <c r="MZ87" s="20"/>
      <c r="NA87" s="20"/>
      <c r="NB87" s="20"/>
      <c r="NC87" s="20"/>
      <c r="ND87" s="20"/>
      <c r="NE87" s="20"/>
      <c r="NF87" s="20"/>
      <c r="NG87" s="20"/>
      <c r="NH87" s="20"/>
      <c r="NI87" s="20"/>
      <c r="NJ87" s="20"/>
      <c r="NK87" s="20"/>
      <c r="NL87" s="20"/>
      <c r="NM87" s="20"/>
      <c r="NN87" s="20"/>
      <c r="NO87" s="20"/>
      <c r="NP87" s="20"/>
      <c r="NQ87" s="20"/>
      <c r="NR87" s="20"/>
      <c r="NS87" s="20"/>
      <c r="NT87" s="20"/>
      <c r="NU87" s="20"/>
      <c r="NV87" s="20"/>
      <c r="NW87" s="20"/>
      <c r="NX87" s="20"/>
      <c r="NY87" s="20"/>
      <c r="NZ87" s="20"/>
      <c r="OA87" s="20"/>
      <c r="OB87" s="20"/>
      <c r="OC87" s="20"/>
      <c r="OD87" s="20"/>
      <c r="OE87" s="20"/>
      <c r="OF87" s="20"/>
      <c r="OG87" s="20"/>
      <c r="OH87" s="20"/>
      <c r="OI87" s="20"/>
      <c r="OJ87" s="20"/>
      <c r="OK87" s="20"/>
      <c r="OL87" s="20"/>
      <c r="OM87" s="20"/>
      <c r="ON87" s="20"/>
      <c r="OO87" s="20"/>
      <c r="OP87" s="20"/>
      <c r="OQ87" s="20"/>
      <c r="OR87" s="20"/>
      <c r="OS87" s="20"/>
      <c r="OT87" s="20"/>
      <c r="OU87" s="20"/>
      <c r="OV87" s="20"/>
      <c r="OW87" s="20"/>
      <c r="OX87" s="20"/>
      <c r="OY87" s="20"/>
      <c r="OZ87" s="20"/>
      <c r="PA87" s="20"/>
      <c r="PB87" s="20"/>
      <c r="PC87" s="20"/>
      <c r="PD87" s="20"/>
      <c r="PE87" s="20"/>
      <c r="PF87" s="20"/>
      <c r="PG87" s="20"/>
      <c r="PH87" s="20"/>
      <c r="PI87" s="20"/>
      <c r="PJ87" s="20"/>
      <c r="PK87" s="20"/>
      <c r="PL87" s="20"/>
      <c r="PM87" s="20"/>
      <c r="PN87" s="20"/>
      <c r="PO87" s="20"/>
      <c r="PP87" s="20"/>
      <c r="PQ87" s="20"/>
      <c r="PR87" s="20"/>
      <c r="PS87" s="20"/>
      <c r="PT87" s="20"/>
      <c r="PU87" s="20"/>
      <c r="PV87" s="20"/>
      <c r="PW87" s="20"/>
      <c r="PX87" s="20"/>
      <c r="PY87" s="20"/>
      <c r="PZ87" s="20"/>
      <c r="QA87" s="20"/>
      <c r="QB87" s="20"/>
      <c r="QC87" s="20"/>
      <c r="QD87" s="20"/>
      <c r="QE87" s="20"/>
      <c r="QF87" s="20"/>
      <c r="QG87" s="20"/>
      <c r="QH87" s="20"/>
      <c r="QI87" s="20"/>
      <c r="QJ87" s="20"/>
      <c r="QK87" s="20"/>
      <c r="QL87" s="20"/>
      <c r="QM87" s="20"/>
      <c r="QN87" s="20"/>
      <c r="QO87" s="20"/>
      <c r="QP87" s="20"/>
      <c r="QQ87" s="20"/>
      <c r="QR87" s="20"/>
      <c r="QS87" s="20"/>
      <c r="QT87" s="20"/>
      <c r="QU87" s="20"/>
      <c r="QV87" s="20"/>
      <c r="QW87" s="20"/>
      <c r="QX87" s="20"/>
      <c r="QY87" s="20"/>
      <c r="QZ87" s="20"/>
      <c r="RA87" s="20"/>
      <c r="RB87" s="20"/>
      <c r="RC87" s="20"/>
      <c r="RD87" s="20"/>
      <c r="RE87" s="20"/>
      <c r="RF87" s="20"/>
      <c r="RG87" s="20"/>
      <c r="RH87" s="20"/>
      <c r="RI87" s="20"/>
      <c r="RJ87" s="20"/>
      <c r="RK87" s="20"/>
      <c r="RL87" s="20"/>
      <c r="RM87" s="20"/>
      <c r="RN87" s="20"/>
      <c r="RO87" s="20"/>
      <c r="RP87" s="20"/>
      <c r="RQ87" s="20"/>
      <c r="RR87" s="20"/>
      <c r="RS87" s="20"/>
      <c r="RT87" s="20"/>
      <c r="RU87" s="20"/>
      <c r="RV87" s="20"/>
      <c r="RW87" s="20"/>
      <c r="RX87" s="20"/>
      <c r="RY87" s="20"/>
      <c r="RZ87" s="20"/>
      <c r="SA87" s="20"/>
      <c r="SB87" s="20"/>
      <c r="SC87" s="20"/>
      <c r="SD87" s="20"/>
      <c r="SE87" s="20"/>
      <c r="SF87" s="20"/>
      <c r="SG87" s="20"/>
      <c r="SH87" s="20"/>
      <c r="SI87" s="20"/>
      <c r="SJ87" s="20"/>
      <c r="SK87" s="20"/>
      <c r="SL87" s="20"/>
      <c r="SM87" s="20"/>
      <c r="SN87" s="20"/>
      <c r="SO87" s="20"/>
      <c r="SP87" s="20"/>
      <c r="SQ87" s="20"/>
      <c r="SR87" s="20"/>
      <c r="SS87" s="20"/>
      <c r="ST87" s="20"/>
      <c r="SU87" s="20"/>
      <c r="SV87" s="20"/>
      <c r="SW87" s="20"/>
      <c r="SX87" s="20"/>
      <c r="SY87" s="20"/>
      <c r="SZ87" s="20"/>
      <c r="TA87" s="20"/>
      <c r="TB87" s="20"/>
      <c r="TC87" s="20"/>
      <c r="TD87" s="20"/>
      <c r="TE87" s="20"/>
      <c r="TF87" s="20"/>
      <c r="TG87" s="20"/>
      <c r="TH87" s="20"/>
      <c r="TI87" s="20"/>
      <c r="TJ87" s="20"/>
      <c r="TK87" s="20"/>
      <c r="TL87" s="20"/>
      <c r="TM87" s="20"/>
      <c r="TN87" s="20"/>
      <c r="TO87" s="20"/>
      <c r="TP87" s="20"/>
      <c r="TQ87" s="20"/>
      <c r="TR87" s="20"/>
      <c r="TS87" s="20"/>
      <c r="TT87" s="20"/>
      <c r="TU87" s="20"/>
      <c r="TV87" s="20"/>
      <c r="TW87" s="20"/>
      <c r="TX87" s="20"/>
      <c r="TY87" s="20"/>
      <c r="TZ87" s="20"/>
      <c r="UA87" s="20"/>
      <c r="UB87" s="20"/>
      <c r="UC87" s="20"/>
      <c r="UD87" s="20"/>
      <c r="UE87" s="20"/>
      <c r="UF87" s="20"/>
      <c r="UG87" s="20"/>
      <c r="UH87" s="20"/>
      <c r="UI87" s="20"/>
      <c r="UJ87" s="20"/>
      <c r="UK87" s="20"/>
      <c r="UL87" s="20"/>
      <c r="UM87" s="20"/>
      <c r="UN87" s="20"/>
      <c r="UO87" s="20"/>
      <c r="UP87" s="20"/>
      <c r="UQ87" s="20"/>
      <c r="UR87" s="20"/>
      <c r="US87" s="20"/>
      <c r="UT87" s="20"/>
      <c r="UU87" s="20"/>
      <c r="UV87" s="20"/>
      <c r="UW87" s="20"/>
      <c r="UX87" s="20"/>
      <c r="UY87" s="20"/>
      <c r="UZ87" s="20"/>
      <c r="VA87" s="20"/>
      <c r="VB87" s="20"/>
      <c r="VC87" s="20"/>
      <c r="VD87" s="20"/>
      <c r="VE87" s="20"/>
      <c r="VF87" s="20"/>
      <c r="VG87" s="20"/>
      <c r="VH87" s="20"/>
      <c r="VI87" s="20"/>
      <c r="VJ87" s="20"/>
      <c r="VK87" s="20"/>
      <c r="VL87" s="20"/>
      <c r="VM87" s="20"/>
      <c r="VN87" s="20"/>
      <c r="VO87" s="20"/>
      <c r="VP87" s="20"/>
      <c r="VQ87" s="20"/>
      <c r="VR87" s="20"/>
      <c r="VS87" s="20"/>
      <c r="VT87" s="20"/>
      <c r="VU87" s="20"/>
      <c r="VV87" s="20"/>
      <c r="VW87" s="20"/>
      <c r="VX87" s="20"/>
      <c r="VY87" s="20"/>
      <c r="VZ87" s="20"/>
      <c r="WA87" s="20"/>
      <c r="WB87" s="20"/>
      <c r="WC87" s="20"/>
      <c r="WD87" s="20"/>
      <c r="WE87" s="20"/>
      <c r="WF87" s="20"/>
      <c r="WG87" s="20"/>
      <c r="WH87" s="20"/>
      <c r="WI87" s="20"/>
      <c r="WJ87" s="20"/>
      <c r="WK87" s="20"/>
      <c r="WL87" s="20"/>
      <c r="WM87" s="20"/>
      <c r="WN87" s="20"/>
      <c r="WO87" s="20"/>
      <c r="WP87" s="20"/>
      <c r="WQ87" s="20"/>
      <c r="WR87" s="20"/>
      <c r="WS87" s="20"/>
      <c r="WT87" s="20"/>
      <c r="WU87" s="20"/>
      <c r="WV87" s="20"/>
      <c r="WW87" s="20"/>
      <c r="WX87" s="20"/>
      <c r="WY87" s="20"/>
      <c r="WZ87" s="20"/>
      <c r="XA87" s="20"/>
      <c r="XB87" s="20"/>
      <c r="XC87" s="20"/>
      <c r="XD87" s="20"/>
      <c r="XE87" s="20"/>
      <c r="XF87" s="20"/>
      <c r="XG87" s="20"/>
      <c r="XH87" s="20"/>
      <c r="XI87" s="20"/>
      <c r="XJ87" s="20"/>
      <c r="XK87" s="20"/>
      <c r="XL87" s="20"/>
      <c r="XM87" s="20"/>
      <c r="XN87" s="20"/>
      <c r="XO87" s="20"/>
      <c r="XP87" s="20"/>
      <c r="XQ87" s="20"/>
      <c r="XR87" s="20"/>
      <c r="XS87" s="20"/>
      <c r="XT87" s="20"/>
      <c r="XU87" s="20"/>
      <c r="XV87" s="20"/>
      <c r="XW87" s="20"/>
      <c r="XX87" s="20"/>
      <c r="XY87" s="20"/>
      <c r="XZ87" s="20"/>
      <c r="YA87" s="20"/>
      <c r="YB87" s="20"/>
      <c r="YC87" s="20"/>
      <c r="YD87" s="20"/>
      <c r="YE87" s="20"/>
      <c r="YF87" s="20"/>
      <c r="YG87" s="20"/>
      <c r="YH87" s="20"/>
      <c r="YI87" s="20"/>
      <c r="YJ87" s="20"/>
      <c r="YK87" s="20"/>
      <c r="YL87" s="20"/>
      <c r="YM87" s="20"/>
      <c r="YN87" s="20"/>
      <c r="YO87" s="20"/>
      <c r="YP87" s="20"/>
      <c r="YQ87" s="20"/>
      <c r="YR87" s="20"/>
      <c r="YS87" s="20"/>
      <c r="YT87" s="20"/>
      <c r="YU87" s="20"/>
      <c r="YV87" s="20"/>
      <c r="YW87" s="20"/>
      <c r="YX87" s="20"/>
      <c r="YY87" s="20"/>
      <c r="YZ87" s="20"/>
      <c r="ZA87" s="20"/>
      <c r="ZB87" s="20"/>
      <c r="ZC87" s="20"/>
      <c r="ZD87" s="20"/>
      <c r="ZE87" s="20"/>
      <c r="ZF87" s="20"/>
      <c r="ZG87" s="20"/>
      <c r="ZH87" s="20"/>
      <c r="ZI87" s="20"/>
      <c r="ZJ87" s="20"/>
      <c r="ZK87" s="20"/>
      <c r="ZL87" s="20"/>
      <c r="ZM87" s="20"/>
      <c r="ZN87" s="20"/>
      <c r="ZO87" s="20"/>
      <c r="ZP87" s="20"/>
      <c r="ZQ87" s="20"/>
      <c r="ZR87" s="20"/>
      <c r="ZS87" s="20"/>
      <c r="ZT87" s="20"/>
      <c r="ZU87" s="20"/>
      <c r="ZV87" s="20"/>
      <c r="ZW87" s="20"/>
      <c r="ZX87" s="20"/>
      <c r="ZY87" s="20"/>
      <c r="ZZ87" s="20"/>
      <c r="AAA87" s="20"/>
      <c r="AAB87" s="20"/>
      <c r="AAC87" s="20"/>
      <c r="AAD87" s="20"/>
      <c r="AAE87" s="20"/>
      <c r="AAF87" s="20"/>
      <c r="AAG87" s="20"/>
      <c r="AAH87" s="20"/>
      <c r="AAI87" s="20"/>
      <c r="AAJ87" s="20"/>
      <c r="AAK87" s="20"/>
      <c r="AAL87" s="20"/>
      <c r="AAM87" s="20"/>
      <c r="AAN87" s="20"/>
      <c r="AAO87" s="20"/>
      <c r="AAP87" s="20"/>
      <c r="AAQ87" s="20"/>
      <c r="AAR87" s="20"/>
      <c r="AAS87" s="20"/>
      <c r="AAT87" s="20"/>
      <c r="AAU87" s="20"/>
      <c r="AAV87" s="20"/>
      <c r="AAW87" s="20"/>
      <c r="AAX87" s="20"/>
      <c r="AAY87" s="20"/>
      <c r="AAZ87" s="20"/>
      <c r="ABA87" s="20"/>
      <c r="ABB87" s="20"/>
      <c r="ABC87" s="20"/>
      <c r="ABD87" s="20"/>
      <c r="ABE87" s="20"/>
      <c r="ABF87" s="20"/>
      <c r="ABG87" s="20"/>
      <c r="ABH87" s="20"/>
      <c r="ABI87" s="20"/>
      <c r="ABJ87" s="20"/>
      <c r="ABK87" s="20"/>
      <c r="ABL87" s="20"/>
      <c r="ABM87" s="20"/>
      <c r="ABN87" s="20"/>
      <c r="ABO87" s="20"/>
      <c r="ABP87" s="20"/>
      <c r="ABQ87" s="20"/>
      <c r="ABR87" s="20"/>
      <c r="ABS87" s="20"/>
      <c r="ABT87" s="20"/>
      <c r="ABU87" s="20"/>
      <c r="ABV87" s="20"/>
      <c r="ABW87" s="20"/>
      <c r="ABX87" s="20"/>
      <c r="ABY87" s="20"/>
      <c r="ABZ87" s="20"/>
      <c r="ACA87" s="20"/>
      <c r="ACB87" s="20"/>
      <c r="ACC87" s="20"/>
      <c r="ACD87" s="20"/>
      <c r="ACE87" s="20"/>
      <c r="ACF87" s="20"/>
      <c r="ACG87" s="20"/>
      <c r="ACH87" s="20"/>
      <c r="ACI87" s="20"/>
      <c r="ACJ87" s="20"/>
      <c r="ACK87" s="20"/>
      <c r="ACL87" s="20"/>
      <c r="ACM87" s="20"/>
      <c r="ACN87" s="20"/>
      <c r="ACO87" s="20"/>
      <c r="ACP87" s="20"/>
      <c r="ACQ87" s="20"/>
    </row>
    <row r="88" spans="1:771" s="62" customFormat="1" ht="48.95" customHeight="1">
      <c r="A88" s="20"/>
      <c r="B88" s="61" t="s">
        <v>375</v>
      </c>
      <c r="D88" s="61" t="s">
        <v>362</v>
      </c>
      <c r="F88" s="63" t="s">
        <v>363</v>
      </c>
      <c r="H88" s="61" t="s">
        <v>116</v>
      </c>
      <c r="J88" s="61" t="s">
        <v>365</v>
      </c>
      <c r="L88" s="61" t="s">
        <v>74</v>
      </c>
      <c r="N88" s="61" t="s">
        <v>103</v>
      </c>
      <c r="P88" s="61" t="s">
        <v>376</v>
      </c>
      <c r="R88" s="63" t="s">
        <v>77</v>
      </c>
      <c r="T88" s="73" t="s">
        <v>265</v>
      </c>
      <c r="U88" s="66"/>
      <c r="V88" s="67" t="s">
        <v>79</v>
      </c>
      <c r="W88" s="68"/>
      <c r="X88" s="67" t="s">
        <v>80</v>
      </c>
      <c r="Y88" s="68"/>
      <c r="Z88" s="67" t="s">
        <v>80</v>
      </c>
      <c r="AA88" s="68"/>
      <c r="AB88" s="67" t="s">
        <v>80</v>
      </c>
      <c r="AD88" s="63" t="s">
        <v>377</v>
      </c>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c r="JS88" s="20"/>
      <c r="JT88" s="20"/>
      <c r="JU88" s="20"/>
      <c r="JV88" s="20"/>
      <c r="JW88" s="20"/>
      <c r="JX88" s="20"/>
      <c r="JY88" s="20"/>
      <c r="JZ88" s="20"/>
      <c r="KA88" s="20"/>
      <c r="KB88" s="20"/>
      <c r="KC88" s="20"/>
      <c r="KD88" s="20"/>
      <c r="KE88" s="20"/>
      <c r="KF88" s="20"/>
      <c r="KG88" s="20"/>
      <c r="KH88" s="20"/>
      <c r="KI88" s="20"/>
      <c r="KJ88" s="20"/>
      <c r="KK88" s="20"/>
      <c r="KL88" s="20"/>
      <c r="KM88" s="20"/>
      <c r="KN88" s="20"/>
      <c r="KO88" s="20"/>
      <c r="KP88" s="20"/>
      <c r="KQ88" s="20"/>
      <c r="KR88" s="20"/>
      <c r="KS88" s="20"/>
      <c r="KT88" s="20"/>
      <c r="KU88" s="20"/>
      <c r="KV88" s="20"/>
      <c r="KW88" s="20"/>
      <c r="KX88" s="20"/>
      <c r="KY88" s="20"/>
      <c r="KZ88" s="20"/>
      <c r="LA88" s="20"/>
      <c r="LB88" s="20"/>
      <c r="LC88" s="20"/>
      <c r="LD88" s="20"/>
      <c r="LE88" s="20"/>
      <c r="LF88" s="20"/>
      <c r="LG88" s="20"/>
      <c r="LH88" s="20"/>
      <c r="LI88" s="20"/>
      <c r="LJ88" s="20"/>
      <c r="LK88" s="20"/>
      <c r="LL88" s="20"/>
      <c r="LM88" s="20"/>
      <c r="LN88" s="20"/>
      <c r="LO88" s="20"/>
      <c r="LP88" s="20"/>
      <c r="LQ88" s="20"/>
      <c r="LR88" s="20"/>
      <c r="LS88" s="20"/>
      <c r="LT88" s="20"/>
      <c r="LU88" s="20"/>
      <c r="LV88" s="20"/>
      <c r="LW88" s="20"/>
      <c r="LX88" s="20"/>
      <c r="LY88" s="20"/>
      <c r="LZ88" s="20"/>
      <c r="MA88" s="20"/>
      <c r="MB88" s="20"/>
      <c r="MC88" s="20"/>
      <c r="MD88" s="20"/>
      <c r="ME88" s="20"/>
      <c r="MF88" s="20"/>
      <c r="MG88" s="20"/>
      <c r="MH88" s="20"/>
      <c r="MI88" s="20"/>
      <c r="MJ88" s="20"/>
      <c r="MK88" s="20"/>
      <c r="ML88" s="20"/>
      <c r="MM88" s="20"/>
      <c r="MN88" s="20"/>
      <c r="MO88" s="20"/>
      <c r="MP88" s="20"/>
      <c r="MQ88" s="20"/>
      <c r="MR88" s="20"/>
      <c r="MS88" s="20"/>
      <c r="MT88" s="20"/>
      <c r="MU88" s="20"/>
      <c r="MV88" s="20"/>
      <c r="MW88" s="20"/>
      <c r="MX88" s="20"/>
      <c r="MY88" s="20"/>
      <c r="MZ88" s="20"/>
      <c r="NA88" s="20"/>
      <c r="NB88" s="20"/>
      <c r="NC88" s="20"/>
      <c r="ND88" s="20"/>
      <c r="NE88" s="20"/>
      <c r="NF88" s="20"/>
      <c r="NG88" s="20"/>
      <c r="NH88" s="20"/>
      <c r="NI88" s="20"/>
      <c r="NJ88" s="20"/>
      <c r="NK88" s="20"/>
      <c r="NL88" s="20"/>
      <c r="NM88" s="20"/>
      <c r="NN88" s="20"/>
      <c r="NO88" s="20"/>
      <c r="NP88" s="20"/>
      <c r="NQ88" s="20"/>
      <c r="NR88" s="20"/>
      <c r="NS88" s="20"/>
      <c r="NT88" s="20"/>
      <c r="NU88" s="20"/>
      <c r="NV88" s="20"/>
      <c r="NW88" s="20"/>
      <c r="NX88" s="20"/>
      <c r="NY88" s="20"/>
      <c r="NZ88" s="20"/>
      <c r="OA88" s="20"/>
      <c r="OB88" s="20"/>
      <c r="OC88" s="20"/>
      <c r="OD88" s="20"/>
      <c r="OE88" s="20"/>
      <c r="OF88" s="20"/>
      <c r="OG88" s="20"/>
      <c r="OH88" s="20"/>
      <c r="OI88" s="20"/>
      <c r="OJ88" s="20"/>
      <c r="OK88" s="20"/>
      <c r="OL88" s="20"/>
      <c r="OM88" s="20"/>
      <c r="ON88" s="20"/>
      <c r="OO88" s="20"/>
      <c r="OP88" s="20"/>
      <c r="OQ88" s="20"/>
      <c r="OR88" s="20"/>
      <c r="OS88" s="20"/>
      <c r="OT88" s="20"/>
      <c r="OU88" s="20"/>
      <c r="OV88" s="20"/>
      <c r="OW88" s="20"/>
      <c r="OX88" s="20"/>
      <c r="OY88" s="20"/>
      <c r="OZ88" s="20"/>
      <c r="PA88" s="20"/>
      <c r="PB88" s="20"/>
      <c r="PC88" s="20"/>
      <c r="PD88" s="20"/>
      <c r="PE88" s="20"/>
      <c r="PF88" s="20"/>
      <c r="PG88" s="20"/>
      <c r="PH88" s="20"/>
      <c r="PI88" s="20"/>
      <c r="PJ88" s="20"/>
      <c r="PK88" s="20"/>
      <c r="PL88" s="20"/>
      <c r="PM88" s="20"/>
      <c r="PN88" s="20"/>
      <c r="PO88" s="20"/>
      <c r="PP88" s="20"/>
      <c r="PQ88" s="20"/>
      <c r="PR88" s="20"/>
      <c r="PS88" s="20"/>
      <c r="PT88" s="20"/>
      <c r="PU88" s="20"/>
      <c r="PV88" s="20"/>
      <c r="PW88" s="20"/>
      <c r="PX88" s="20"/>
      <c r="PY88" s="20"/>
      <c r="PZ88" s="20"/>
      <c r="QA88" s="20"/>
      <c r="QB88" s="20"/>
      <c r="QC88" s="20"/>
      <c r="QD88" s="20"/>
      <c r="QE88" s="20"/>
      <c r="QF88" s="20"/>
      <c r="QG88" s="20"/>
      <c r="QH88" s="20"/>
      <c r="QI88" s="20"/>
      <c r="QJ88" s="20"/>
      <c r="QK88" s="20"/>
      <c r="QL88" s="20"/>
      <c r="QM88" s="20"/>
      <c r="QN88" s="20"/>
      <c r="QO88" s="20"/>
      <c r="QP88" s="20"/>
      <c r="QQ88" s="20"/>
      <c r="QR88" s="20"/>
      <c r="QS88" s="20"/>
      <c r="QT88" s="20"/>
      <c r="QU88" s="20"/>
      <c r="QV88" s="20"/>
      <c r="QW88" s="20"/>
      <c r="QX88" s="20"/>
      <c r="QY88" s="20"/>
      <c r="QZ88" s="20"/>
      <c r="RA88" s="20"/>
      <c r="RB88" s="20"/>
      <c r="RC88" s="20"/>
      <c r="RD88" s="20"/>
      <c r="RE88" s="20"/>
      <c r="RF88" s="20"/>
      <c r="RG88" s="20"/>
      <c r="RH88" s="20"/>
      <c r="RI88" s="20"/>
      <c r="RJ88" s="20"/>
      <c r="RK88" s="20"/>
      <c r="RL88" s="20"/>
      <c r="RM88" s="20"/>
      <c r="RN88" s="20"/>
      <c r="RO88" s="20"/>
      <c r="RP88" s="20"/>
      <c r="RQ88" s="20"/>
      <c r="RR88" s="20"/>
      <c r="RS88" s="20"/>
      <c r="RT88" s="20"/>
      <c r="RU88" s="20"/>
      <c r="RV88" s="20"/>
      <c r="RW88" s="20"/>
      <c r="RX88" s="20"/>
      <c r="RY88" s="20"/>
      <c r="RZ88" s="20"/>
      <c r="SA88" s="20"/>
      <c r="SB88" s="20"/>
      <c r="SC88" s="20"/>
      <c r="SD88" s="20"/>
      <c r="SE88" s="20"/>
      <c r="SF88" s="20"/>
      <c r="SG88" s="20"/>
      <c r="SH88" s="20"/>
      <c r="SI88" s="20"/>
      <c r="SJ88" s="20"/>
      <c r="SK88" s="20"/>
      <c r="SL88" s="20"/>
      <c r="SM88" s="20"/>
      <c r="SN88" s="20"/>
      <c r="SO88" s="20"/>
      <c r="SP88" s="20"/>
      <c r="SQ88" s="20"/>
      <c r="SR88" s="20"/>
      <c r="SS88" s="20"/>
      <c r="ST88" s="20"/>
      <c r="SU88" s="20"/>
      <c r="SV88" s="20"/>
      <c r="SW88" s="20"/>
      <c r="SX88" s="20"/>
      <c r="SY88" s="20"/>
      <c r="SZ88" s="20"/>
      <c r="TA88" s="20"/>
      <c r="TB88" s="20"/>
      <c r="TC88" s="20"/>
      <c r="TD88" s="20"/>
      <c r="TE88" s="20"/>
      <c r="TF88" s="20"/>
      <c r="TG88" s="20"/>
      <c r="TH88" s="20"/>
      <c r="TI88" s="20"/>
      <c r="TJ88" s="20"/>
      <c r="TK88" s="20"/>
      <c r="TL88" s="20"/>
      <c r="TM88" s="20"/>
      <c r="TN88" s="20"/>
      <c r="TO88" s="20"/>
      <c r="TP88" s="20"/>
      <c r="TQ88" s="20"/>
      <c r="TR88" s="20"/>
      <c r="TS88" s="20"/>
      <c r="TT88" s="20"/>
      <c r="TU88" s="20"/>
      <c r="TV88" s="20"/>
      <c r="TW88" s="20"/>
      <c r="TX88" s="20"/>
      <c r="TY88" s="20"/>
      <c r="TZ88" s="20"/>
      <c r="UA88" s="20"/>
      <c r="UB88" s="20"/>
      <c r="UC88" s="20"/>
      <c r="UD88" s="20"/>
      <c r="UE88" s="20"/>
      <c r="UF88" s="20"/>
      <c r="UG88" s="20"/>
      <c r="UH88" s="20"/>
      <c r="UI88" s="20"/>
      <c r="UJ88" s="20"/>
      <c r="UK88" s="20"/>
      <c r="UL88" s="20"/>
      <c r="UM88" s="20"/>
      <c r="UN88" s="20"/>
      <c r="UO88" s="20"/>
      <c r="UP88" s="20"/>
      <c r="UQ88" s="20"/>
      <c r="UR88" s="20"/>
      <c r="US88" s="20"/>
      <c r="UT88" s="20"/>
      <c r="UU88" s="20"/>
      <c r="UV88" s="20"/>
      <c r="UW88" s="20"/>
      <c r="UX88" s="20"/>
      <c r="UY88" s="20"/>
      <c r="UZ88" s="20"/>
      <c r="VA88" s="20"/>
      <c r="VB88" s="20"/>
      <c r="VC88" s="20"/>
      <c r="VD88" s="20"/>
      <c r="VE88" s="20"/>
      <c r="VF88" s="20"/>
      <c r="VG88" s="20"/>
      <c r="VH88" s="20"/>
      <c r="VI88" s="20"/>
      <c r="VJ88" s="20"/>
      <c r="VK88" s="20"/>
      <c r="VL88" s="20"/>
      <c r="VM88" s="20"/>
      <c r="VN88" s="20"/>
      <c r="VO88" s="20"/>
      <c r="VP88" s="20"/>
      <c r="VQ88" s="20"/>
      <c r="VR88" s="20"/>
      <c r="VS88" s="20"/>
      <c r="VT88" s="20"/>
      <c r="VU88" s="20"/>
      <c r="VV88" s="20"/>
      <c r="VW88" s="20"/>
      <c r="VX88" s="20"/>
      <c r="VY88" s="20"/>
      <c r="VZ88" s="20"/>
      <c r="WA88" s="20"/>
      <c r="WB88" s="20"/>
      <c r="WC88" s="20"/>
      <c r="WD88" s="20"/>
      <c r="WE88" s="20"/>
      <c r="WF88" s="20"/>
      <c r="WG88" s="20"/>
      <c r="WH88" s="20"/>
      <c r="WI88" s="20"/>
      <c r="WJ88" s="20"/>
      <c r="WK88" s="20"/>
      <c r="WL88" s="20"/>
      <c r="WM88" s="20"/>
      <c r="WN88" s="20"/>
      <c r="WO88" s="20"/>
      <c r="WP88" s="20"/>
      <c r="WQ88" s="20"/>
      <c r="WR88" s="20"/>
      <c r="WS88" s="20"/>
      <c r="WT88" s="20"/>
      <c r="WU88" s="20"/>
      <c r="WV88" s="20"/>
      <c r="WW88" s="20"/>
      <c r="WX88" s="20"/>
      <c r="WY88" s="20"/>
      <c r="WZ88" s="20"/>
      <c r="XA88" s="20"/>
      <c r="XB88" s="20"/>
      <c r="XC88" s="20"/>
      <c r="XD88" s="20"/>
      <c r="XE88" s="20"/>
      <c r="XF88" s="20"/>
      <c r="XG88" s="20"/>
      <c r="XH88" s="20"/>
      <c r="XI88" s="20"/>
      <c r="XJ88" s="20"/>
      <c r="XK88" s="20"/>
      <c r="XL88" s="20"/>
      <c r="XM88" s="20"/>
      <c r="XN88" s="20"/>
      <c r="XO88" s="20"/>
      <c r="XP88" s="20"/>
      <c r="XQ88" s="20"/>
      <c r="XR88" s="20"/>
      <c r="XS88" s="20"/>
      <c r="XT88" s="20"/>
      <c r="XU88" s="20"/>
      <c r="XV88" s="20"/>
      <c r="XW88" s="20"/>
      <c r="XX88" s="20"/>
      <c r="XY88" s="20"/>
      <c r="XZ88" s="20"/>
      <c r="YA88" s="20"/>
      <c r="YB88" s="20"/>
      <c r="YC88" s="20"/>
      <c r="YD88" s="20"/>
      <c r="YE88" s="20"/>
      <c r="YF88" s="20"/>
      <c r="YG88" s="20"/>
      <c r="YH88" s="20"/>
      <c r="YI88" s="20"/>
      <c r="YJ88" s="20"/>
      <c r="YK88" s="20"/>
      <c r="YL88" s="20"/>
      <c r="YM88" s="20"/>
      <c r="YN88" s="20"/>
      <c r="YO88" s="20"/>
      <c r="YP88" s="20"/>
      <c r="YQ88" s="20"/>
      <c r="YR88" s="20"/>
      <c r="YS88" s="20"/>
      <c r="YT88" s="20"/>
      <c r="YU88" s="20"/>
      <c r="YV88" s="20"/>
      <c r="YW88" s="20"/>
      <c r="YX88" s="20"/>
      <c r="YY88" s="20"/>
      <c r="YZ88" s="20"/>
      <c r="ZA88" s="20"/>
      <c r="ZB88" s="20"/>
      <c r="ZC88" s="20"/>
      <c r="ZD88" s="20"/>
      <c r="ZE88" s="20"/>
      <c r="ZF88" s="20"/>
      <c r="ZG88" s="20"/>
      <c r="ZH88" s="20"/>
      <c r="ZI88" s="20"/>
      <c r="ZJ88" s="20"/>
      <c r="ZK88" s="20"/>
      <c r="ZL88" s="20"/>
      <c r="ZM88" s="20"/>
      <c r="ZN88" s="20"/>
      <c r="ZO88" s="20"/>
      <c r="ZP88" s="20"/>
      <c r="ZQ88" s="20"/>
      <c r="ZR88" s="20"/>
      <c r="ZS88" s="20"/>
      <c r="ZT88" s="20"/>
      <c r="ZU88" s="20"/>
      <c r="ZV88" s="20"/>
      <c r="ZW88" s="20"/>
      <c r="ZX88" s="20"/>
      <c r="ZY88" s="20"/>
      <c r="ZZ88" s="20"/>
      <c r="AAA88" s="20"/>
      <c r="AAB88" s="20"/>
      <c r="AAC88" s="20"/>
      <c r="AAD88" s="20"/>
      <c r="AAE88" s="20"/>
      <c r="AAF88" s="20"/>
      <c r="AAG88" s="20"/>
      <c r="AAH88" s="20"/>
      <c r="AAI88" s="20"/>
      <c r="AAJ88" s="20"/>
      <c r="AAK88" s="20"/>
      <c r="AAL88" s="20"/>
      <c r="AAM88" s="20"/>
      <c r="AAN88" s="20"/>
      <c r="AAO88" s="20"/>
      <c r="AAP88" s="20"/>
      <c r="AAQ88" s="20"/>
      <c r="AAR88" s="20"/>
      <c r="AAS88" s="20"/>
      <c r="AAT88" s="20"/>
      <c r="AAU88" s="20"/>
      <c r="AAV88" s="20"/>
      <c r="AAW88" s="20"/>
      <c r="AAX88" s="20"/>
      <c r="AAY88" s="20"/>
      <c r="AAZ88" s="20"/>
      <c r="ABA88" s="20"/>
      <c r="ABB88" s="20"/>
      <c r="ABC88" s="20"/>
      <c r="ABD88" s="20"/>
      <c r="ABE88" s="20"/>
      <c r="ABF88" s="20"/>
      <c r="ABG88" s="20"/>
      <c r="ABH88" s="20"/>
      <c r="ABI88" s="20"/>
      <c r="ABJ88" s="20"/>
      <c r="ABK88" s="20"/>
      <c r="ABL88" s="20"/>
      <c r="ABM88" s="20"/>
      <c r="ABN88" s="20"/>
      <c r="ABO88" s="20"/>
      <c r="ABP88" s="20"/>
      <c r="ABQ88" s="20"/>
      <c r="ABR88" s="20"/>
      <c r="ABS88" s="20"/>
      <c r="ABT88" s="20"/>
      <c r="ABU88" s="20"/>
      <c r="ABV88" s="20"/>
      <c r="ABW88" s="20"/>
      <c r="ABX88" s="20"/>
      <c r="ABY88" s="20"/>
      <c r="ABZ88" s="20"/>
      <c r="ACA88" s="20"/>
      <c r="ACB88" s="20"/>
      <c r="ACC88" s="20"/>
      <c r="ACD88" s="20"/>
      <c r="ACE88" s="20"/>
      <c r="ACF88" s="20"/>
      <c r="ACG88" s="20"/>
      <c r="ACH88" s="20"/>
      <c r="ACI88" s="20"/>
      <c r="ACJ88" s="20"/>
      <c r="ACK88" s="20"/>
      <c r="ACL88" s="20"/>
      <c r="ACM88" s="20"/>
      <c r="ACN88" s="20"/>
      <c r="ACO88" s="20"/>
      <c r="ACP88" s="20"/>
      <c r="ACQ88" s="20"/>
    </row>
    <row r="89" spans="1:771" s="62" customFormat="1" ht="57.95" customHeight="1">
      <c r="A89" s="20"/>
      <c r="B89" s="61" t="s">
        <v>375</v>
      </c>
      <c r="D89" s="61" t="s">
        <v>370</v>
      </c>
      <c r="F89" s="63" t="s">
        <v>370</v>
      </c>
      <c r="H89" s="61" t="s">
        <v>124</v>
      </c>
      <c r="J89" s="61" t="s">
        <v>365</v>
      </c>
      <c r="L89" s="61" t="s">
        <v>74</v>
      </c>
      <c r="N89" s="61" t="s">
        <v>103</v>
      </c>
      <c r="P89" s="61" t="s">
        <v>376</v>
      </c>
      <c r="R89" s="63" t="s">
        <v>77</v>
      </c>
      <c r="T89" s="73" t="s">
        <v>265</v>
      </c>
      <c r="U89" s="66"/>
      <c r="V89" s="67" t="s">
        <v>79</v>
      </c>
      <c r="W89" s="68"/>
      <c r="X89" s="67" t="s">
        <v>80</v>
      </c>
      <c r="Y89" s="68"/>
      <c r="Z89" s="67" t="s">
        <v>80</v>
      </c>
      <c r="AA89" s="68"/>
      <c r="AB89" s="67" t="s">
        <v>80</v>
      </c>
      <c r="AD89" s="63" t="s">
        <v>377</v>
      </c>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c r="IX89" s="20"/>
      <c r="IY89" s="20"/>
      <c r="IZ89" s="20"/>
      <c r="JA89" s="20"/>
      <c r="JB89" s="20"/>
      <c r="JC89" s="20"/>
      <c r="JD89" s="20"/>
      <c r="JE89" s="20"/>
      <c r="JF89" s="20"/>
      <c r="JG89" s="20"/>
      <c r="JH89" s="20"/>
      <c r="JI89" s="20"/>
      <c r="JJ89" s="20"/>
      <c r="JK89" s="20"/>
      <c r="JL89" s="20"/>
      <c r="JM89" s="20"/>
      <c r="JN89" s="20"/>
      <c r="JO89" s="20"/>
      <c r="JP89" s="20"/>
      <c r="JQ89" s="20"/>
      <c r="JR89" s="20"/>
      <c r="JS89" s="20"/>
      <c r="JT89" s="20"/>
      <c r="JU89" s="20"/>
      <c r="JV89" s="20"/>
      <c r="JW89" s="20"/>
      <c r="JX89" s="20"/>
      <c r="JY89" s="20"/>
      <c r="JZ89" s="20"/>
      <c r="KA89" s="20"/>
      <c r="KB89" s="20"/>
      <c r="KC89" s="20"/>
      <c r="KD89" s="20"/>
      <c r="KE89" s="20"/>
      <c r="KF89" s="20"/>
      <c r="KG89" s="20"/>
      <c r="KH89" s="20"/>
      <c r="KI89" s="20"/>
      <c r="KJ89" s="20"/>
      <c r="KK89" s="20"/>
      <c r="KL89" s="20"/>
      <c r="KM89" s="20"/>
      <c r="KN89" s="20"/>
      <c r="KO89" s="20"/>
      <c r="KP89" s="20"/>
      <c r="KQ89" s="20"/>
      <c r="KR89" s="20"/>
      <c r="KS89" s="20"/>
      <c r="KT89" s="20"/>
      <c r="KU89" s="20"/>
      <c r="KV89" s="20"/>
      <c r="KW89" s="20"/>
      <c r="KX89" s="20"/>
      <c r="KY89" s="20"/>
      <c r="KZ89" s="20"/>
      <c r="LA89" s="20"/>
      <c r="LB89" s="20"/>
      <c r="LC89" s="20"/>
      <c r="LD89" s="20"/>
      <c r="LE89" s="20"/>
      <c r="LF89" s="20"/>
      <c r="LG89" s="20"/>
      <c r="LH89" s="20"/>
      <c r="LI89" s="20"/>
      <c r="LJ89" s="20"/>
      <c r="LK89" s="20"/>
      <c r="LL89" s="20"/>
      <c r="LM89" s="20"/>
      <c r="LN89" s="20"/>
      <c r="LO89" s="20"/>
      <c r="LP89" s="20"/>
      <c r="LQ89" s="20"/>
      <c r="LR89" s="20"/>
      <c r="LS89" s="20"/>
      <c r="LT89" s="20"/>
      <c r="LU89" s="20"/>
      <c r="LV89" s="20"/>
      <c r="LW89" s="20"/>
      <c r="LX89" s="20"/>
      <c r="LY89" s="20"/>
      <c r="LZ89" s="20"/>
      <c r="MA89" s="20"/>
      <c r="MB89" s="20"/>
      <c r="MC89" s="20"/>
      <c r="MD89" s="20"/>
      <c r="ME89" s="20"/>
      <c r="MF89" s="20"/>
      <c r="MG89" s="20"/>
      <c r="MH89" s="20"/>
      <c r="MI89" s="20"/>
      <c r="MJ89" s="20"/>
      <c r="MK89" s="20"/>
      <c r="ML89" s="20"/>
      <c r="MM89" s="20"/>
      <c r="MN89" s="20"/>
      <c r="MO89" s="20"/>
      <c r="MP89" s="20"/>
      <c r="MQ89" s="20"/>
      <c r="MR89" s="20"/>
      <c r="MS89" s="20"/>
      <c r="MT89" s="20"/>
      <c r="MU89" s="20"/>
      <c r="MV89" s="20"/>
      <c r="MW89" s="20"/>
      <c r="MX89" s="20"/>
      <c r="MY89" s="20"/>
      <c r="MZ89" s="20"/>
      <c r="NA89" s="20"/>
      <c r="NB89" s="20"/>
      <c r="NC89" s="20"/>
      <c r="ND89" s="20"/>
      <c r="NE89" s="20"/>
      <c r="NF89" s="20"/>
      <c r="NG89" s="20"/>
      <c r="NH89" s="20"/>
      <c r="NI89" s="20"/>
      <c r="NJ89" s="20"/>
      <c r="NK89" s="20"/>
      <c r="NL89" s="20"/>
      <c r="NM89" s="20"/>
      <c r="NN89" s="20"/>
      <c r="NO89" s="20"/>
      <c r="NP89" s="20"/>
      <c r="NQ89" s="20"/>
      <c r="NR89" s="20"/>
      <c r="NS89" s="20"/>
      <c r="NT89" s="20"/>
      <c r="NU89" s="20"/>
      <c r="NV89" s="20"/>
      <c r="NW89" s="20"/>
      <c r="NX89" s="20"/>
      <c r="NY89" s="20"/>
      <c r="NZ89" s="20"/>
      <c r="OA89" s="20"/>
      <c r="OB89" s="20"/>
      <c r="OC89" s="20"/>
      <c r="OD89" s="20"/>
      <c r="OE89" s="20"/>
      <c r="OF89" s="20"/>
      <c r="OG89" s="20"/>
      <c r="OH89" s="20"/>
      <c r="OI89" s="20"/>
      <c r="OJ89" s="20"/>
      <c r="OK89" s="20"/>
      <c r="OL89" s="20"/>
      <c r="OM89" s="20"/>
      <c r="ON89" s="20"/>
      <c r="OO89" s="20"/>
      <c r="OP89" s="20"/>
      <c r="OQ89" s="20"/>
      <c r="OR89" s="20"/>
      <c r="OS89" s="20"/>
      <c r="OT89" s="20"/>
      <c r="OU89" s="20"/>
      <c r="OV89" s="20"/>
      <c r="OW89" s="20"/>
      <c r="OX89" s="20"/>
      <c r="OY89" s="20"/>
      <c r="OZ89" s="20"/>
      <c r="PA89" s="20"/>
      <c r="PB89" s="20"/>
      <c r="PC89" s="20"/>
      <c r="PD89" s="20"/>
      <c r="PE89" s="20"/>
      <c r="PF89" s="20"/>
      <c r="PG89" s="20"/>
      <c r="PH89" s="20"/>
      <c r="PI89" s="20"/>
      <c r="PJ89" s="20"/>
      <c r="PK89" s="20"/>
      <c r="PL89" s="20"/>
      <c r="PM89" s="20"/>
      <c r="PN89" s="20"/>
      <c r="PO89" s="20"/>
      <c r="PP89" s="20"/>
      <c r="PQ89" s="20"/>
      <c r="PR89" s="20"/>
      <c r="PS89" s="20"/>
      <c r="PT89" s="20"/>
      <c r="PU89" s="20"/>
      <c r="PV89" s="20"/>
      <c r="PW89" s="20"/>
      <c r="PX89" s="20"/>
      <c r="PY89" s="20"/>
      <c r="PZ89" s="20"/>
      <c r="QA89" s="20"/>
      <c r="QB89" s="20"/>
      <c r="QC89" s="20"/>
      <c r="QD89" s="20"/>
      <c r="QE89" s="20"/>
      <c r="QF89" s="20"/>
      <c r="QG89" s="20"/>
      <c r="QH89" s="20"/>
      <c r="QI89" s="20"/>
      <c r="QJ89" s="20"/>
      <c r="QK89" s="20"/>
      <c r="QL89" s="20"/>
      <c r="QM89" s="20"/>
      <c r="QN89" s="20"/>
      <c r="QO89" s="20"/>
      <c r="QP89" s="20"/>
      <c r="QQ89" s="20"/>
      <c r="QR89" s="20"/>
      <c r="QS89" s="20"/>
      <c r="QT89" s="20"/>
      <c r="QU89" s="20"/>
      <c r="QV89" s="20"/>
      <c r="QW89" s="20"/>
      <c r="QX89" s="20"/>
      <c r="QY89" s="20"/>
      <c r="QZ89" s="20"/>
      <c r="RA89" s="20"/>
      <c r="RB89" s="20"/>
      <c r="RC89" s="20"/>
      <c r="RD89" s="20"/>
      <c r="RE89" s="20"/>
      <c r="RF89" s="20"/>
      <c r="RG89" s="20"/>
      <c r="RH89" s="20"/>
      <c r="RI89" s="20"/>
      <c r="RJ89" s="20"/>
      <c r="RK89" s="20"/>
      <c r="RL89" s="20"/>
      <c r="RM89" s="20"/>
      <c r="RN89" s="20"/>
      <c r="RO89" s="20"/>
      <c r="RP89" s="20"/>
      <c r="RQ89" s="20"/>
      <c r="RR89" s="20"/>
      <c r="RS89" s="20"/>
      <c r="RT89" s="20"/>
      <c r="RU89" s="20"/>
      <c r="RV89" s="20"/>
      <c r="RW89" s="20"/>
      <c r="RX89" s="20"/>
      <c r="RY89" s="20"/>
      <c r="RZ89" s="20"/>
      <c r="SA89" s="20"/>
      <c r="SB89" s="20"/>
      <c r="SC89" s="20"/>
      <c r="SD89" s="20"/>
      <c r="SE89" s="20"/>
      <c r="SF89" s="20"/>
      <c r="SG89" s="20"/>
      <c r="SH89" s="20"/>
      <c r="SI89" s="20"/>
      <c r="SJ89" s="20"/>
      <c r="SK89" s="20"/>
      <c r="SL89" s="20"/>
      <c r="SM89" s="20"/>
      <c r="SN89" s="20"/>
      <c r="SO89" s="20"/>
      <c r="SP89" s="20"/>
      <c r="SQ89" s="20"/>
      <c r="SR89" s="20"/>
      <c r="SS89" s="20"/>
      <c r="ST89" s="20"/>
      <c r="SU89" s="20"/>
      <c r="SV89" s="20"/>
      <c r="SW89" s="20"/>
      <c r="SX89" s="20"/>
      <c r="SY89" s="20"/>
      <c r="SZ89" s="20"/>
      <c r="TA89" s="20"/>
      <c r="TB89" s="20"/>
      <c r="TC89" s="20"/>
      <c r="TD89" s="20"/>
      <c r="TE89" s="20"/>
      <c r="TF89" s="20"/>
      <c r="TG89" s="20"/>
      <c r="TH89" s="20"/>
      <c r="TI89" s="20"/>
      <c r="TJ89" s="20"/>
      <c r="TK89" s="20"/>
      <c r="TL89" s="20"/>
      <c r="TM89" s="20"/>
      <c r="TN89" s="20"/>
      <c r="TO89" s="20"/>
      <c r="TP89" s="20"/>
      <c r="TQ89" s="20"/>
      <c r="TR89" s="20"/>
      <c r="TS89" s="20"/>
      <c r="TT89" s="20"/>
      <c r="TU89" s="20"/>
      <c r="TV89" s="20"/>
      <c r="TW89" s="20"/>
      <c r="TX89" s="20"/>
      <c r="TY89" s="20"/>
      <c r="TZ89" s="20"/>
      <c r="UA89" s="20"/>
      <c r="UB89" s="20"/>
      <c r="UC89" s="20"/>
      <c r="UD89" s="20"/>
      <c r="UE89" s="20"/>
      <c r="UF89" s="20"/>
      <c r="UG89" s="20"/>
      <c r="UH89" s="20"/>
      <c r="UI89" s="20"/>
      <c r="UJ89" s="20"/>
      <c r="UK89" s="20"/>
      <c r="UL89" s="20"/>
      <c r="UM89" s="20"/>
      <c r="UN89" s="20"/>
      <c r="UO89" s="20"/>
      <c r="UP89" s="20"/>
      <c r="UQ89" s="20"/>
      <c r="UR89" s="20"/>
      <c r="US89" s="20"/>
      <c r="UT89" s="20"/>
      <c r="UU89" s="20"/>
      <c r="UV89" s="20"/>
      <c r="UW89" s="20"/>
      <c r="UX89" s="20"/>
      <c r="UY89" s="20"/>
      <c r="UZ89" s="20"/>
      <c r="VA89" s="20"/>
      <c r="VB89" s="20"/>
      <c r="VC89" s="20"/>
      <c r="VD89" s="20"/>
      <c r="VE89" s="20"/>
      <c r="VF89" s="20"/>
      <c r="VG89" s="20"/>
      <c r="VH89" s="20"/>
      <c r="VI89" s="20"/>
      <c r="VJ89" s="20"/>
      <c r="VK89" s="20"/>
      <c r="VL89" s="20"/>
      <c r="VM89" s="20"/>
      <c r="VN89" s="20"/>
      <c r="VO89" s="20"/>
      <c r="VP89" s="20"/>
      <c r="VQ89" s="20"/>
      <c r="VR89" s="20"/>
      <c r="VS89" s="20"/>
      <c r="VT89" s="20"/>
      <c r="VU89" s="20"/>
      <c r="VV89" s="20"/>
      <c r="VW89" s="20"/>
      <c r="VX89" s="20"/>
      <c r="VY89" s="20"/>
      <c r="VZ89" s="20"/>
      <c r="WA89" s="20"/>
      <c r="WB89" s="20"/>
      <c r="WC89" s="20"/>
      <c r="WD89" s="20"/>
      <c r="WE89" s="20"/>
      <c r="WF89" s="20"/>
      <c r="WG89" s="20"/>
      <c r="WH89" s="20"/>
      <c r="WI89" s="20"/>
      <c r="WJ89" s="20"/>
      <c r="WK89" s="20"/>
      <c r="WL89" s="20"/>
      <c r="WM89" s="20"/>
      <c r="WN89" s="20"/>
      <c r="WO89" s="20"/>
      <c r="WP89" s="20"/>
      <c r="WQ89" s="20"/>
      <c r="WR89" s="20"/>
      <c r="WS89" s="20"/>
      <c r="WT89" s="20"/>
      <c r="WU89" s="20"/>
      <c r="WV89" s="20"/>
      <c r="WW89" s="20"/>
      <c r="WX89" s="20"/>
      <c r="WY89" s="20"/>
      <c r="WZ89" s="20"/>
      <c r="XA89" s="20"/>
      <c r="XB89" s="20"/>
      <c r="XC89" s="20"/>
      <c r="XD89" s="20"/>
      <c r="XE89" s="20"/>
      <c r="XF89" s="20"/>
      <c r="XG89" s="20"/>
      <c r="XH89" s="20"/>
      <c r="XI89" s="20"/>
      <c r="XJ89" s="20"/>
      <c r="XK89" s="20"/>
      <c r="XL89" s="20"/>
      <c r="XM89" s="20"/>
      <c r="XN89" s="20"/>
      <c r="XO89" s="20"/>
      <c r="XP89" s="20"/>
      <c r="XQ89" s="20"/>
      <c r="XR89" s="20"/>
      <c r="XS89" s="20"/>
      <c r="XT89" s="20"/>
      <c r="XU89" s="20"/>
      <c r="XV89" s="20"/>
      <c r="XW89" s="20"/>
      <c r="XX89" s="20"/>
      <c r="XY89" s="20"/>
      <c r="XZ89" s="20"/>
      <c r="YA89" s="20"/>
      <c r="YB89" s="20"/>
      <c r="YC89" s="20"/>
      <c r="YD89" s="20"/>
      <c r="YE89" s="20"/>
      <c r="YF89" s="20"/>
      <c r="YG89" s="20"/>
      <c r="YH89" s="20"/>
      <c r="YI89" s="20"/>
      <c r="YJ89" s="20"/>
      <c r="YK89" s="20"/>
      <c r="YL89" s="20"/>
      <c r="YM89" s="20"/>
      <c r="YN89" s="20"/>
      <c r="YO89" s="20"/>
      <c r="YP89" s="20"/>
      <c r="YQ89" s="20"/>
      <c r="YR89" s="20"/>
      <c r="YS89" s="20"/>
      <c r="YT89" s="20"/>
      <c r="YU89" s="20"/>
      <c r="YV89" s="20"/>
      <c r="YW89" s="20"/>
      <c r="YX89" s="20"/>
      <c r="YY89" s="20"/>
      <c r="YZ89" s="20"/>
      <c r="ZA89" s="20"/>
      <c r="ZB89" s="20"/>
      <c r="ZC89" s="20"/>
      <c r="ZD89" s="20"/>
      <c r="ZE89" s="20"/>
      <c r="ZF89" s="20"/>
      <c r="ZG89" s="20"/>
      <c r="ZH89" s="20"/>
      <c r="ZI89" s="20"/>
      <c r="ZJ89" s="20"/>
      <c r="ZK89" s="20"/>
      <c r="ZL89" s="20"/>
      <c r="ZM89" s="20"/>
      <c r="ZN89" s="20"/>
      <c r="ZO89" s="20"/>
      <c r="ZP89" s="20"/>
      <c r="ZQ89" s="20"/>
      <c r="ZR89" s="20"/>
      <c r="ZS89" s="20"/>
      <c r="ZT89" s="20"/>
      <c r="ZU89" s="20"/>
      <c r="ZV89" s="20"/>
      <c r="ZW89" s="20"/>
      <c r="ZX89" s="20"/>
      <c r="ZY89" s="20"/>
      <c r="ZZ89" s="20"/>
      <c r="AAA89" s="20"/>
      <c r="AAB89" s="20"/>
      <c r="AAC89" s="20"/>
      <c r="AAD89" s="20"/>
      <c r="AAE89" s="20"/>
      <c r="AAF89" s="20"/>
      <c r="AAG89" s="20"/>
      <c r="AAH89" s="20"/>
      <c r="AAI89" s="20"/>
      <c r="AAJ89" s="20"/>
      <c r="AAK89" s="20"/>
      <c r="AAL89" s="20"/>
      <c r="AAM89" s="20"/>
      <c r="AAN89" s="20"/>
      <c r="AAO89" s="20"/>
      <c r="AAP89" s="20"/>
      <c r="AAQ89" s="20"/>
      <c r="AAR89" s="20"/>
      <c r="AAS89" s="20"/>
      <c r="AAT89" s="20"/>
      <c r="AAU89" s="20"/>
      <c r="AAV89" s="20"/>
      <c r="AAW89" s="20"/>
      <c r="AAX89" s="20"/>
      <c r="AAY89" s="20"/>
      <c r="AAZ89" s="20"/>
      <c r="ABA89" s="20"/>
      <c r="ABB89" s="20"/>
      <c r="ABC89" s="20"/>
      <c r="ABD89" s="20"/>
      <c r="ABE89" s="20"/>
      <c r="ABF89" s="20"/>
      <c r="ABG89" s="20"/>
      <c r="ABH89" s="20"/>
      <c r="ABI89" s="20"/>
      <c r="ABJ89" s="20"/>
      <c r="ABK89" s="20"/>
      <c r="ABL89" s="20"/>
      <c r="ABM89" s="20"/>
      <c r="ABN89" s="20"/>
      <c r="ABO89" s="20"/>
      <c r="ABP89" s="20"/>
      <c r="ABQ89" s="20"/>
      <c r="ABR89" s="20"/>
      <c r="ABS89" s="20"/>
      <c r="ABT89" s="20"/>
      <c r="ABU89" s="20"/>
      <c r="ABV89" s="20"/>
      <c r="ABW89" s="20"/>
      <c r="ABX89" s="20"/>
      <c r="ABY89" s="20"/>
      <c r="ABZ89" s="20"/>
      <c r="ACA89" s="20"/>
      <c r="ACB89" s="20"/>
      <c r="ACC89" s="20"/>
      <c r="ACD89" s="20"/>
      <c r="ACE89" s="20"/>
      <c r="ACF89" s="20"/>
      <c r="ACG89" s="20"/>
      <c r="ACH89" s="20"/>
      <c r="ACI89" s="20"/>
      <c r="ACJ89" s="20"/>
      <c r="ACK89" s="20"/>
      <c r="ACL89" s="20"/>
      <c r="ACM89" s="20"/>
      <c r="ACN89" s="20"/>
      <c r="ACO89" s="20"/>
      <c r="ACP89" s="20"/>
      <c r="ACQ89" s="20"/>
    </row>
    <row r="90" spans="1:771" s="62" customFormat="1" ht="57.95" customHeight="1">
      <c r="A90" s="20"/>
      <c r="B90" s="61" t="s">
        <v>375</v>
      </c>
      <c r="D90" s="61" t="s">
        <v>362</v>
      </c>
      <c r="F90" s="63" t="s">
        <v>363</v>
      </c>
      <c r="H90" s="61" t="s">
        <v>124</v>
      </c>
      <c r="J90" s="61" t="s">
        <v>365</v>
      </c>
      <c r="L90" s="61" t="s">
        <v>74</v>
      </c>
      <c r="N90" s="61" t="s">
        <v>103</v>
      </c>
      <c r="P90" s="61" t="s">
        <v>376</v>
      </c>
      <c r="R90" s="63" t="s">
        <v>77</v>
      </c>
      <c r="T90" s="73" t="s">
        <v>265</v>
      </c>
      <c r="U90" s="66"/>
      <c r="V90" s="67" t="s">
        <v>79</v>
      </c>
      <c r="W90" s="68"/>
      <c r="X90" s="67" t="s">
        <v>80</v>
      </c>
      <c r="Y90" s="68"/>
      <c r="Z90" s="67" t="s">
        <v>80</v>
      </c>
      <c r="AA90" s="68"/>
      <c r="AB90" s="67" t="s">
        <v>80</v>
      </c>
      <c r="AD90" s="63" t="s">
        <v>377</v>
      </c>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0"/>
      <c r="JQ90" s="20"/>
      <c r="JR90" s="20"/>
      <c r="JS90" s="20"/>
      <c r="JT90" s="20"/>
      <c r="JU90" s="20"/>
      <c r="JV90" s="20"/>
      <c r="JW90" s="20"/>
      <c r="JX90" s="20"/>
      <c r="JY90" s="20"/>
      <c r="JZ90" s="20"/>
      <c r="KA90" s="20"/>
      <c r="KB90" s="20"/>
      <c r="KC90" s="20"/>
      <c r="KD90" s="20"/>
      <c r="KE90" s="20"/>
      <c r="KF90" s="20"/>
      <c r="KG90" s="20"/>
      <c r="KH90" s="20"/>
      <c r="KI90" s="20"/>
      <c r="KJ90" s="20"/>
      <c r="KK90" s="20"/>
      <c r="KL90" s="20"/>
      <c r="KM90" s="20"/>
      <c r="KN90" s="20"/>
      <c r="KO90" s="20"/>
      <c r="KP90" s="20"/>
      <c r="KQ90" s="20"/>
      <c r="KR90" s="20"/>
      <c r="KS90" s="20"/>
      <c r="KT90" s="20"/>
      <c r="KU90" s="20"/>
      <c r="KV90" s="20"/>
      <c r="KW90" s="20"/>
      <c r="KX90" s="20"/>
      <c r="KY90" s="20"/>
      <c r="KZ90" s="20"/>
      <c r="LA90" s="20"/>
      <c r="LB90" s="20"/>
      <c r="LC90" s="20"/>
      <c r="LD90" s="20"/>
      <c r="LE90" s="20"/>
      <c r="LF90" s="20"/>
      <c r="LG90" s="20"/>
      <c r="LH90" s="20"/>
      <c r="LI90" s="20"/>
      <c r="LJ90" s="20"/>
      <c r="LK90" s="20"/>
      <c r="LL90" s="20"/>
      <c r="LM90" s="20"/>
      <c r="LN90" s="20"/>
      <c r="LO90" s="20"/>
      <c r="LP90" s="20"/>
      <c r="LQ90" s="20"/>
      <c r="LR90" s="20"/>
      <c r="LS90" s="20"/>
      <c r="LT90" s="20"/>
      <c r="LU90" s="20"/>
      <c r="LV90" s="20"/>
      <c r="LW90" s="20"/>
      <c r="LX90" s="20"/>
      <c r="LY90" s="20"/>
      <c r="LZ90" s="20"/>
      <c r="MA90" s="20"/>
      <c r="MB90" s="20"/>
      <c r="MC90" s="20"/>
      <c r="MD90" s="20"/>
      <c r="ME90" s="20"/>
      <c r="MF90" s="20"/>
      <c r="MG90" s="20"/>
      <c r="MH90" s="20"/>
      <c r="MI90" s="20"/>
      <c r="MJ90" s="20"/>
      <c r="MK90" s="20"/>
      <c r="ML90" s="20"/>
      <c r="MM90" s="20"/>
      <c r="MN90" s="20"/>
      <c r="MO90" s="20"/>
      <c r="MP90" s="20"/>
      <c r="MQ90" s="20"/>
      <c r="MR90" s="20"/>
      <c r="MS90" s="20"/>
      <c r="MT90" s="20"/>
      <c r="MU90" s="20"/>
      <c r="MV90" s="20"/>
      <c r="MW90" s="20"/>
      <c r="MX90" s="20"/>
      <c r="MY90" s="20"/>
      <c r="MZ90" s="20"/>
      <c r="NA90" s="20"/>
      <c r="NB90" s="20"/>
      <c r="NC90" s="20"/>
      <c r="ND90" s="20"/>
      <c r="NE90" s="20"/>
      <c r="NF90" s="20"/>
      <c r="NG90" s="20"/>
      <c r="NH90" s="20"/>
      <c r="NI90" s="20"/>
      <c r="NJ90" s="20"/>
      <c r="NK90" s="20"/>
      <c r="NL90" s="20"/>
      <c r="NM90" s="20"/>
      <c r="NN90" s="20"/>
      <c r="NO90" s="20"/>
      <c r="NP90" s="20"/>
      <c r="NQ90" s="20"/>
      <c r="NR90" s="20"/>
      <c r="NS90" s="20"/>
      <c r="NT90" s="20"/>
      <c r="NU90" s="20"/>
      <c r="NV90" s="20"/>
      <c r="NW90" s="20"/>
      <c r="NX90" s="20"/>
      <c r="NY90" s="20"/>
      <c r="NZ90" s="20"/>
      <c r="OA90" s="20"/>
      <c r="OB90" s="20"/>
      <c r="OC90" s="20"/>
      <c r="OD90" s="20"/>
      <c r="OE90" s="20"/>
      <c r="OF90" s="20"/>
      <c r="OG90" s="20"/>
      <c r="OH90" s="20"/>
      <c r="OI90" s="20"/>
      <c r="OJ90" s="20"/>
      <c r="OK90" s="20"/>
      <c r="OL90" s="20"/>
      <c r="OM90" s="20"/>
      <c r="ON90" s="20"/>
      <c r="OO90" s="20"/>
      <c r="OP90" s="20"/>
      <c r="OQ90" s="20"/>
      <c r="OR90" s="20"/>
      <c r="OS90" s="20"/>
      <c r="OT90" s="20"/>
      <c r="OU90" s="20"/>
      <c r="OV90" s="20"/>
      <c r="OW90" s="20"/>
      <c r="OX90" s="20"/>
      <c r="OY90" s="20"/>
      <c r="OZ90" s="20"/>
      <c r="PA90" s="20"/>
      <c r="PB90" s="20"/>
      <c r="PC90" s="20"/>
      <c r="PD90" s="20"/>
      <c r="PE90" s="20"/>
      <c r="PF90" s="20"/>
      <c r="PG90" s="20"/>
      <c r="PH90" s="20"/>
      <c r="PI90" s="20"/>
      <c r="PJ90" s="20"/>
      <c r="PK90" s="20"/>
      <c r="PL90" s="20"/>
      <c r="PM90" s="20"/>
      <c r="PN90" s="20"/>
      <c r="PO90" s="20"/>
      <c r="PP90" s="20"/>
      <c r="PQ90" s="20"/>
      <c r="PR90" s="20"/>
      <c r="PS90" s="20"/>
      <c r="PT90" s="20"/>
      <c r="PU90" s="20"/>
      <c r="PV90" s="20"/>
      <c r="PW90" s="20"/>
      <c r="PX90" s="20"/>
      <c r="PY90" s="20"/>
      <c r="PZ90" s="20"/>
      <c r="QA90" s="20"/>
      <c r="QB90" s="20"/>
      <c r="QC90" s="20"/>
      <c r="QD90" s="20"/>
      <c r="QE90" s="20"/>
      <c r="QF90" s="20"/>
      <c r="QG90" s="20"/>
      <c r="QH90" s="20"/>
      <c r="QI90" s="20"/>
      <c r="QJ90" s="20"/>
      <c r="QK90" s="20"/>
      <c r="QL90" s="20"/>
      <c r="QM90" s="20"/>
      <c r="QN90" s="20"/>
      <c r="QO90" s="20"/>
      <c r="QP90" s="20"/>
      <c r="QQ90" s="20"/>
      <c r="QR90" s="20"/>
      <c r="QS90" s="20"/>
      <c r="QT90" s="20"/>
      <c r="QU90" s="20"/>
      <c r="QV90" s="20"/>
      <c r="QW90" s="20"/>
      <c r="QX90" s="20"/>
      <c r="QY90" s="20"/>
      <c r="QZ90" s="20"/>
      <c r="RA90" s="20"/>
      <c r="RB90" s="20"/>
      <c r="RC90" s="20"/>
      <c r="RD90" s="20"/>
      <c r="RE90" s="20"/>
      <c r="RF90" s="20"/>
      <c r="RG90" s="20"/>
      <c r="RH90" s="20"/>
      <c r="RI90" s="20"/>
      <c r="RJ90" s="20"/>
      <c r="RK90" s="20"/>
      <c r="RL90" s="20"/>
      <c r="RM90" s="20"/>
      <c r="RN90" s="20"/>
      <c r="RO90" s="20"/>
      <c r="RP90" s="20"/>
      <c r="RQ90" s="20"/>
      <c r="RR90" s="20"/>
      <c r="RS90" s="20"/>
      <c r="RT90" s="20"/>
      <c r="RU90" s="20"/>
      <c r="RV90" s="20"/>
      <c r="RW90" s="20"/>
      <c r="RX90" s="20"/>
      <c r="RY90" s="20"/>
      <c r="RZ90" s="20"/>
      <c r="SA90" s="20"/>
      <c r="SB90" s="20"/>
      <c r="SC90" s="20"/>
      <c r="SD90" s="20"/>
      <c r="SE90" s="20"/>
      <c r="SF90" s="20"/>
      <c r="SG90" s="20"/>
      <c r="SH90" s="20"/>
      <c r="SI90" s="20"/>
      <c r="SJ90" s="20"/>
      <c r="SK90" s="20"/>
      <c r="SL90" s="20"/>
      <c r="SM90" s="20"/>
      <c r="SN90" s="20"/>
      <c r="SO90" s="20"/>
      <c r="SP90" s="20"/>
      <c r="SQ90" s="20"/>
      <c r="SR90" s="20"/>
      <c r="SS90" s="20"/>
      <c r="ST90" s="20"/>
      <c r="SU90" s="20"/>
      <c r="SV90" s="20"/>
      <c r="SW90" s="20"/>
      <c r="SX90" s="20"/>
      <c r="SY90" s="20"/>
      <c r="SZ90" s="20"/>
      <c r="TA90" s="20"/>
      <c r="TB90" s="20"/>
      <c r="TC90" s="20"/>
      <c r="TD90" s="20"/>
      <c r="TE90" s="20"/>
      <c r="TF90" s="20"/>
      <c r="TG90" s="20"/>
      <c r="TH90" s="20"/>
      <c r="TI90" s="20"/>
      <c r="TJ90" s="20"/>
      <c r="TK90" s="20"/>
      <c r="TL90" s="20"/>
      <c r="TM90" s="20"/>
      <c r="TN90" s="20"/>
      <c r="TO90" s="20"/>
      <c r="TP90" s="20"/>
      <c r="TQ90" s="20"/>
      <c r="TR90" s="20"/>
      <c r="TS90" s="20"/>
      <c r="TT90" s="20"/>
      <c r="TU90" s="20"/>
      <c r="TV90" s="20"/>
      <c r="TW90" s="20"/>
      <c r="TX90" s="20"/>
      <c r="TY90" s="20"/>
      <c r="TZ90" s="20"/>
      <c r="UA90" s="20"/>
      <c r="UB90" s="20"/>
      <c r="UC90" s="20"/>
      <c r="UD90" s="20"/>
      <c r="UE90" s="20"/>
      <c r="UF90" s="20"/>
      <c r="UG90" s="20"/>
      <c r="UH90" s="20"/>
      <c r="UI90" s="20"/>
      <c r="UJ90" s="20"/>
      <c r="UK90" s="20"/>
      <c r="UL90" s="20"/>
      <c r="UM90" s="20"/>
      <c r="UN90" s="20"/>
      <c r="UO90" s="20"/>
      <c r="UP90" s="20"/>
      <c r="UQ90" s="20"/>
      <c r="UR90" s="20"/>
      <c r="US90" s="20"/>
      <c r="UT90" s="20"/>
      <c r="UU90" s="20"/>
      <c r="UV90" s="20"/>
      <c r="UW90" s="20"/>
      <c r="UX90" s="20"/>
      <c r="UY90" s="20"/>
      <c r="UZ90" s="20"/>
      <c r="VA90" s="20"/>
      <c r="VB90" s="20"/>
      <c r="VC90" s="20"/>
      <c r="VD90" s="20"/>
      <c r="VE90" s="20"/>
      <c r="VF90" s="20"/>
      <c r="VG90" s="20"/>
      <c r="VH90" s="20"/>
      <c r="VI90" s="20"/>
      <c r="VJ90" s="20"/>
      <c r="VK90" s="20"/>
      <c r="VL90" s="20"/>
      <c r="VM90" s="20"/>
      <c r="VN90" s="20"/>
      <c r="VO90" s="20"/>
      <c r="VP90" s="20"/>
      <c r="VQ90" s="20"/>
      <c r="VR90" s="20"/>
      <c r="VS90" s="20"/>
      <c r="VT90" s="20"/>
      <c r="VU90" s="20"/>
      <c r="VV90" s="20"/>
      <c r="VW90" s="20"/>
      <c r="VX90" s="20"/>
      <c r="VY90" s="20"/>
      <c r="VZ90" s="20"/>
      <c r="WA90" s="20"/>
      <c r="WB90" s="20"/>
      <c r="WC90" s="20"/>
      <c r="WD90" s="20"/>
      <c r="WE90" s="20"/>
      <c r="WF90" s="20"/>
      <c r="WG90" s="20"/>
      <c r="WH90" s="20"/>
      <c r="WI90" s="20"/>
      <c r="WJ90" s="20"/>
      <c r="WK90" s="20"/>
      <c r="WL90" s="20"/>
      <c r="WM90" s="20"/>
      <c r="WN90" s="20"/>
      <c r="WO90" s="20"/>
      <c r="WP90" s="20"/>
      <c r="WQ90" s="20"/>
      <c r="WR90" s="20"/>
      <c r="WS90" s="20"/>
      <c r="WT90" s="20"/>
      <c r="WU90" s="20"/>
      <c r="WV90" s="20"/>
      <c r="WW90" s="20"/>
      <c r="WX90" s="20"/>
      <c r="WY90" s="20"/>
      <c r="WZ90" s="20"/>
      <c r="XA90" s="20"/>
      <c r="XB90" s="20"/>
      <c r="XC90" s="20"/>
      <c r="XD90" s="20"/>
      <c r="XE90" s="20"/>
      <c r="XF90" s="20"/>
      <c r="XG90" s="20"/>
      <c r="XH90" s="20"/>
      <c r="XI90" s="20"/>
      <c r="XJ90" s="20"/>
      <c r="XK90" s="20"/>
      <c r="XL90" s="20"/>
      <c r="XM90" s="20"/>
      <c r="XN90" s="20"/>
      <c r="XO90" s="20"/>
      <c r="XP90" s="20"/>
      <c r="XQ90" s="20"/>
      <c r="XR90" s="20"/>
      <c r="XS90" s="20"/>
      <c r="XT90" s="20"/>
      <c r="XU90" s="20"/>
      <c r="XV90" s="20"/>
      <c r="XW90" s="20"/>
      <c r="XX90" s="20"/>
      <c r="XY90" s="20"/>
      <c r="XZ90" s="20"/>
      <c r="YA90" s="20"/>
      <c r="YB90" s="20"/>
      <c r="YC90" s="20"/>
      <c r="YD90" s="20"/>
      <c r="YE90" s="20"/>
      <c r="YF90" s="20"/>
      <c r="YG90" s="20"/>
      <c r="YH90" s="20"/>
      <c r="YI90" s="20"/>
      <c r="YJ90" s="20"/>
      <c r="YK90" s="20"/>
      <c r="YL90" s="20"/>
      <c r="YM90" s="20"/>
      <c r="YN90" s="20"/>
      <c r="YO90" s="20"/>
      <c r="YP90" s="20"/>
      <c r="YQ90" s="20"/>
      <c r="YR90" s="20"/>
      <c r="YS90" s="20"/>
      <c r="YT90" s="20"/>
      <c r="YU90" s="20"/>
      <c r="YV90" s="20"/>
      <c r="YW90" s="20"/>
      <c r="YX90" s="20"/>
      <c r="YY90" s="20"/>
      <c r="YZ90" s="20"/>
      <c r="ZA90" s="20"/>
      <c r="ZB90" s="20"/>
      <c r="ZC90" s="20"/>
      <c r="ZD90" s="20"/>
      <c r="ZE90" s="20"/>
      <c r="ZF90" s="20"/>
      <c r="ZG90" s="20"/>
      <c r="ZH90" s="20"/>
      <c r="ZI90" s="20"/>
      <c r="ZJ90" s="20"/>
      <c r="ZK90" s="20"/>
      <c r="ZL90" s="20"/>
      <c r="ZM90" s="20"/>
      <c r="ZN90" s="20"/>
      <c r="ZO90" s="20"/>
      <c r="ZP90" s="20"/>
      <c r="ZQ90" s="20"/>
      <c r="ZR90" s="20"/>
      <c r="ZS90" s="20"/>
      <c r="ZT90" s="20"/>
      <c r="ZU90" s="20"/>
      <c r="ZV90" s="20"/>
      <c r="ZW90" s="20"/>
      <c r="ZX90" s="20"/>
      <c r="ZY90" s="20"/>
      <c r="ZZ90" s="20"/>
      <c r="AAA90" s="20"/>
      <c r="AAB90" s="20"/>
      <c r="AAC90" s="20"/>
      <c r="AAD90" s="20"/>
      <c r="AAE90" s="20"/>
      <c r="AAF90" s="20"/>
      <c r="AAG90" s="20"/>
      <c r="AAH90" s="20"/>
      <c r="AAI90" s="20"/>
      <c r="AAJ90" s="20"/>
      <c r="AAK90" s="20"/>
      <c r="AAL90" s="20"/>
      <c r="AAM90" s="20"/>
      <c r="AAN90" s="20"/>
      <c r="AAO90" s="20"/>
      <c r="AAP90" s="20"/>
      <c r="AAQ90" s="20"/>
      <c r="AAR90" s="20"/>
      <c r="AAS90" s="20"/>
      <c r="AAT90" s="20"/>
      <c r="AAU90" s="20"/>
      <c r="AAV90" s="20"/>
      <c r="AAW90" s="20"/>
      <c r="AAX90" s="20"/>
      <c r="AAY90" s="20"/>
      <c r="AAZ90" s="20"/>
      <c r="ABA90" s="20"/>
      <c r="ABB90" s="20"/>
      <c r="ABC90" s="20"/>
      <c r="ABD90" s="20"/>
      <c r="ABE90" s="20"/>
      <c r="ABF90" s="20"/>
      <c r="ABG90" s="20"/>
      <c r="ABH90" s="20"/>
      <c r="ABI90" s="20"/>
      <c r="ABJ90" s="20"/>
      <c r="ABK90" s="20"/>
      <c r="ABL90" s="20"/>
      <c r="ABM90" s="20"/>
      <c r="ABN90" s="20"/>
      <c r="ABO90" s="20"/>
      <c r="ABP90" s="20"/>
      <c r="ABQ90" s="20"/>
      <c r="ABR90" s="20"/>
      <c r="ABS90" s="20"/>
      <c r="ABT90" s="20"/>
      <c r="ABU90" s="20"/>
      <c r="ABV90" s="20"/>
      <c r="ABW90" s="20"/>
      <c r="ABX90" s="20"/>
      <c r="ABY90" s="20"/>
      <c r="ABZ90" s="20"/>
      <c r="ACA90" s="20"/>
      <c r="ACB90" s="20"/>
      <c r="ACC90" s="20"/>
      <c r="ACD90" s="20"/>
      <c r="ACE90" s="20"/>
      <c r="ACF90" s="20"/>
      <c r="ACG90" s="20"/>
      <c r="ACH90" s="20"/>
      <c r="ACI90" s="20"/>
      <c r="ACJ90" s="20"/>
      <c r="ACK90" s="20"/>
      <c r="ACL90" s="20"/>
      <c r="ACM90" s="20"/>
      <c r="ACN90" s="20"/>
      <c r="ACO90" s="20"/>
      <c r="ACP90" s="20"/>
      <c r="ACQ90" s="20"/>
    </row>
    <row r="91" spans="1:771" s="62" customFormat="1" ht="102">
      <c r="A91" s="20"/>
      <c r="B91" s="61" t="s">
        <v>378</v>
      </c>
      <c r="D91" s="61" t="s">
        <v>379</v>
      </c>
      <c r="F91" s="63" t="s">
        <v>380</v>
      </c>
      <c r="H91" s="61" t="s">
        <v>88</v>
      </c>
      <c r="J91" s="61" t="s">
        <v>365</v>
      </c>
      <c r="L91" s="61" t="s">
        <v>74</v>
      </c>
      <c r="N91" s="61" t="s">
        <v>103</v>
      </c>
      <c r="P91" s="61" t="s">
        <v>381</v>
      </c>
      <c r="R91" s="61" t="s">
        <v>77</v>
      </c>
      <c r="T91" s="75" t="s">
        <v>382</v>
      </c>
      <c r="U91" s="66"/>
      <c r="V91" s="67" t="s">
        <v>79</v>
      </c>
      <c r="W91" s="68"/>
      <c r="X91" s="67" t="s">
        <v>80</v>
      </c>
      <c r="Y91" s="68"/>
      <c r="Z91" s="67" t="s">
        <v>80</v>
      </c>
      <c r="AA91" s="68"/>
      <c r="AB91" s="63" t="s">
        <v>383</v>
      </c>
      <c r="AD91" s="63" t="s">
        <v>384</v>
      </c>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c r="JC91" s="20"/>
      <c r="JD91" s="20"/>
      <c r="JE91" s="20"/>
      <c r="JF91" s="20"/>
      <c r="JG91" s="20"/>
      <c r="JH91" s="20"/>
      <c r="JI91" s="20"/>
      <c r="JJ91" s="20"/>
      <c r="JK91" s="20"/>
      <c r="JL91" s="20"/>
      <c r="JM91" s="20"/>
      <c r="JN91" s="20"/>
      <c r="JO91" s="20"/>
      <c r="JP91" s="20"/>
      <c r="JQ91" s="20"/>
      <c r="JR91" s="20"/>
      <c r="JS91" s="20"/>
      <c r="JT91" s="20"/>
      <c r="JU91" s="20"/>
      <c r="JV91" s="20"/>
      <c r="JW91" s="20"/>
      <c r="JX91" s="20"/>
      <c r="JY91" s="20"/>
      <c r="JZ91" s="20"/>
      <c r="KA91" s="20"/>
      <c r="KB91" s="20"/>
      <c r="KC91" s="20"/>
      <c r="KD91" s="20"/>
      <c r="KE91" s="20"/>
      <c r="KF91" s="20"/>
      <c r="KG91" s="20"/>
      <c r="KH91" s="20"/>
      <c r="KI91" s="20"/>
      <c r="KJ91" s="20"/>
      <c r="KK91" s="20"/>
      <c r="KL91" s="20"/>
      <c r="KM91" s="20"/>
      <c r="KN91" s="20"/>
      <c r="KO91" s="20"/>
      <c r="KP91" s="20"/>
      <c r="KQ91" s="20"/>
      <c r="KR91" s="20"/>
      <c r="KS91" s="20"/>
      <c r="KT91" s="20"/>
      <c r="KU91" s="20"/>
      <c r="KV91" s="20"/>
      <c r="KW91" s="20"/>
      <c r="KX91" s="20"/>
      <c r="KY91" s="20"/>
      <c r="KZ91" s="20"/>
      <c r="LA91" s="20"/>
      <c r="LB91" s="20"/>
      <c r="LC91" s="20"/>
      <c r="LD91" s="20"/>
      <c r="LE91" s="20"/>
      <c r="LF91" s="20"/>
      <c r="LG91" s="20"/>
      <c r="LH91" s="20"/>
      <c r="LI91" s="20"/>
      <c r="LJ91" s="20"/>
      <c r="LK91" s="20"/>
      <c r="LL91" s="20"/>
      <c r="LM91" s="20"/>
      <c r="LN91" s="20"/>
      <c r="LO91" s="20"/>
      <c r="LP91" s="20"/>
      <c r="LQ91" s="20"/>
      <c r="LR91" s="20"/>
      <c r="LS91" s="20"/>
      <c r="LT91" s="20"/>
      <c r="LU91" s="20"/>
      <c r="LV91" s="20"/>
      <c r="LW91" s="20"/>
      <c r="LX91" s="20"/>
      <c r="LY91" s="20"/>
      <c r="LZ91" s="20"/>
      <c r="MA91" s="20"/>
      <c r="MB91" s="20"/>
      <c r="MC91" s="20"/>
      <c r="MD91" s="20"/>
      <c r="ME91" s="20"/>
      <c r="MF91" s="20"/>
      <c r="MG91" s="20"/>
      <c r="MH91" s="20"/>
      <c r="MI91" s="20"/>
      <c r="MJ91" s="20"/>
      <c r="MK91" s="20"/>
      <c r="ML91" s="20"/>
      <c r="MM91" s="20"/>
      <c r="MN91" s="20"/>
      <c r="MO91" s="20"/>
      <c r="MP91" s="20"/>
      <c r="MQ91" s="20"/>
      <c r="MR91" s="20"/>
      <c r="MS91" s="20"/>
      <c r="MT91" s="20"/>
      <c r="MU91" s="20"/>
      <c r="MV91" s="20"/>
      <c r="MW91" s="20"/>
      <c r="MX91" s="20"/>
      <c r="MY91" s="20"/>
      <c r="MZ91" s="20"/>
      <c r="NA91" s="20"/>
      <c r="NB91" s="20"/>
      <c r="NC91" s="20"/>
      <c r="ND91" s="20"/>
      <c r="NE91" s="20"/>
      <c r="NF91" s="20"/>
      <c r="NG91" s="20"/>
      <c r="NH91" s="20"/>
      <c r="NI91" s="20"/>
      <c r="NJ91" s="20"/>
      <c r="NK91" s="20"/>
      <c r="NL91" s="20"/>
      <c r="NM91" s="20"/>
      <c r="NN91" s="20"/>
      <c r="NO91" s="20"/>
      <c r="NP91" s="20"/>
      <c r="NQ91" s="20"/>
      <c r="NR91" s="20"/>
      <c r="NS91" s="20"/>
      <c r="NT91" s="20"/>
      <c r="NU91" s="20"/>
      <c r="NV91" s="20"/>
      <c r="NW91" s="20"/>
      <c r="NX91" s="20"/>
      <c r="NY91" s="20"/>
      <c r="NZ91" s="20"/>
      <c r="OA91" s="20"/>
      <c r="OB91" s="20"/>
      <c r="OC91" s="20"/>
      <c r="OD91" s="20"/>
      <c r="OE91" s="20"/>
      <c r="OF91" s="20"/>
      <c r="OG91" s="20"/>
      <c r="OH91" s="20"/>
      <c r="OI91" s="20"/>
      <c r="OJ91" s="20"/>
      <c r="OK91" s="20"/>
      <c r="OL91" s="20"/>
      <c r="OM91" s="20"/>
      <c r="ON91" s="20"/>
      <c r="OO91" s="20"/>
      <c r="OP91" s="20"/>
      <c r="OQ91" s="20"/>
      <c r="OR91" s="20"/>
      <c r="OS91" s="20"/>
      <c r="OT91" s="20"/>
      <c r="OU91" s="20"/>
      <c r="OV91" s="20"/>
      <c r="OW91" s="20"/>
      <c r="OX91" s="20"/>
      <c r="OY91" s="20"/>
      <c r="OZ91" s="20"/>
      <c r="PA91" s="20"/>
      <c r="PB91" s="20"/>
      <c r="PC91" s="20"/>
      <c r="PD91" s="20"/>
      <c r="PE91" s="20"/>
      <c r="PF91" s="20"/>
      <c r="PG91" s="20"/>
      <c r="PH91" s="20"/>
      <c r="PI91" s="20"/>
      <c r="PJ91" s="20"/>
      <c r="PK91" s="20"/>
      <c r="PL91" s="20"/>
      <c r="PM91" s="20"/>
      <c r="PN91" s="20"/>
      <c r="PO91" s="20"/>
      <c r="PP91" s="20"/>
      <c r="PQ91" s="20"/>
      <c r="PR91" s="20"/>
      <c r="PS91" s="20"/>
      <c r="PT91" s="20"/>
      <c r="PU91" s="20"/>
      <c r="PV91" s="20"/>
      <c r="PW91" s="20"/>
      <c r="PX91" s="20"/>
      <c r="PY91" s="20"/>
      <c r="PZ91" s="20"/>
      <c r="QA91" s="20"/>
      <c r="QB91" s="20"/>
      <c r="QC91" s="20"/>
      <c r="QD91" s="20"/>
      <c r="QE91" s="20"/>
      <c r="QF91" s="20"/>
      <c r="QG91" s="20"/>
      <c r="QH91" s="20"/>
      <c r="QI91" s="20"/>
      <c r="QJ91" s="20"/>
      <c r="QK91" s="20"/>
      <c r="QL91" s="20"/>
      <c r="QM91" s="20"/>
      <c r="QN91" s="20"/>
      <c r="QO91" s="20"/>
      <c r="QP91" s="20"/>
      <c r="QQ91" s="20"/>
      <c r="QR91" s="20"/>
      <c r="QS91" s="20"/>
      <c r="QT91" s="20"/>
      <c r="QU91" s="20"/>
      <c r="QV91" s="20"/>
      <c r="QW91" s="20"/>
      <c r="QX91" s="20"/>
      <c r="QY91" s="20"/>
      <c r="QZ91" s="20"/>
      <c r="RA91" s="20"/>
      <c r="RB91" s="20"/>
      <c r="RC91" s="20"/>
      <c r="RD91" s="20"/>
      <c r="RE91" s="20"/>
      <c r="RF91" s="20"/>
      <c r="RG91" s="20"/>
      <c r="RH91" s="20"/>
      <c r="RI91" s="20"/>
      <c r="RJ91" s="20"/>
      <c r="RK91" s="20"/>
      <c r="RL91" s="20"/>
      <c r="RM91" s="20"/>
      <c r="RN91" s="20"/>
      <c r="RO91" s="20"/>
      <c r="RP91" s="20"/>
      <c r="RQ91" s="20"/>
      <c r="RR91" s="20"/>
      <c r="RS91" s="20"/>
      <c r="RT91" s="20"/>
      <c r="RU91" s="20"/>
      <c r="RV91" s="20"/>
      <c r="RW91" s="20"/>
      <c r="RX91" s="20"/>
      <c r="RY91" s="20"/>
      <c r="RZ91" s="20"/>
      <c r="SA91" s="20"/>
      <c r="SB91" s="20"/>
      <c r="SC91" s="20"/>
      <c r="SD91" s="20"/>
      <c r="SE91" s="20"/>
      <c r="SF91" s="20"/>
      <c r="SG91" s="20"/>
      <c r="SH91" s="20"/>
      <c r="SI91" s="20"/>
      <c r="SJ91" s="20"/>
      <c r="SK91" s="20"/>
      <c r="SL91" s="20"/>
      <c r="SM91" s="20"/>
      <c r="SN91" s="20"/>
      <c r="SO91" s="20"/>
      <c r="SP91" s="20"/>
      <c r="SQ91" s="20"/>
      <c r="SR91" s="20"/>
      <c r="SS91" s="20"/>
      <c r="ST91" s="20"/>
      <c r="SU91" s="20"/>
      <c r="SV91" s="20"/>
      <c r="SW91" s="20"/>
      <c r="SX91" s="20"/>
      <c r="SY91" s="20"/>
      <c r="SZ91" s="20"/>
      <c r="TA91" s="20"/>
      <c r="TB91" s="20"/>
      <c r="TC91" s="20"/>
      <c r="TD91" s="20"/>
      <c r="TE91" s="20"/>
      <c r="TF91" s="20"/>
      <c r="TG91" s="20"/>
      <c r="TH91" s="20"/>
      <c r="TI91" s="20"/>
      <c r="TJ91" s="20"/>
      <c r="TK91" s="20"/>
      <c r="TL91" s="20"/>
      <c r="TM91" s="20"/>
      <c r="TN91" s="20"/>
      <c r="TO91" s="20"/>
      <c r="TP91" s="20"/>
      <c r="TQ91" s="20"/>
      <c r="TR91" s="20"/>
      <c r="TS91" s="20"/>
      <c r="TT91" s="20"/>
      <c r="TU91" s="20"/>
      <c r="TV91" s="20"/>
      <c r="TW91" s="20"/>
      <c r="TX91" s="20"/>
      <c r="TY91" s="20"/>
      <c r="TZ91" s="20"/>
      <c r="UA91" s="20"/>
      <c r="UB91" s="20"/>
      <c r="UC91" s="20"/>
      <c r="UD91" s="20"/>
      <c r="UE91" s="20"/>
      <c r="UF91" s="20"/>
      <c r="UG91" s="20"/>
      <c r="UH91" s="20"/>
      <c r="UI91" s="20"/>
      <c r="UJ91" s="20"/>
      <c r="UK91" s="20"/>
      <c r="UL91" s="20"/>
      <c r="UM91" s="20"/>
      <c r="UN91" s="20"/>
      <c r="UO91" s="20"/>
      <c r="UP91" s="20"/>
      <c r="UQ91" s="20"/>
      <c r="UR91" s="20"/>
      <c r="US91" s="20"/>
      <c r="UT91" s="20"/>
      <c r="UU91" s="20"/>
      <c r="UV91" s="20"/>
      <c r="UW91" s="20"/>
      <c r="UX91" s="20"/>
      <c r="UY91" s="20"/>
      <c r="UZ91" s="20"/>
      <c r="VA91" s="20"/>
      <c r="VB91" s="20"/>
      <c r="VC91" s="20"/>
      <c r="VD91" s="20"/>
      <c r="VE91" s="20"/>
      <c r="VF91" s="20"/>
      <c r="VG91" s="20"/>
      <c r="VH91" s="20"/>
      <c r="VI91" s="20"/>
      <c r="VJ91" s="20"/>
      <c r="VK91" s="20"/>
      <c r="VL91" s="20"/>
      <c r="VM91" s="20"/>
      <c r="VN91" s="20"/>
      <c r="VO91" s="20"/>
      <c r="VP91" s="20"/>
      <c r="VQ91" s="20"/>
      <c r="VR91" s="20"/>
      <c r="VS91" s="20"/>
      <c r="VT91" s="20"/>
      <c r="VU91" s="20"/>
      <c r="VV91" s="20"/>
      <c r="VW91" s="20"/>
      <c r="VX91" s="20"/>
      <c r="VY91" s="20"/>
      <c r="VZ91" s="20"/>
      <c r="WA91" s="20"/>
      <c r="WB91" s="20"/>
      <c r="WC91" s="20"/>
      <c r="WD91" s="20"/>
      <c r="WE91" s="20"/>
      <c r="WF91" s="20"/>
      <c r="WG91" s="20"/>
      <c r="WH91" s="20"/>
      <c r="WI91" s="20"/>
      <c r="WJ91" s="20"/>
      <c r="WK91" s="20"/>
      <c r="WL91" s="20"/>
      <c r="WM91" s="20"/>
      <c r="WN91" s="20"/>
      <c r="WO91" s="20"/>
      <c r="WP91" s="20"/>
      <c r="WQ91" s="20"/>
      <c r="WR91" s="20"/>
      <c r="WS91" s="20"/>
      <c r="WT91" s="20"/>
      <c r="WU91" s="20"/>
      <c r="WV91" s="20"/>
      <c r="WW91" s="20"/>
      <c r="WX91" s="20"/>
      <c r="WY91" s="20"/>
      <c r="WZ91" s="20"/>
      <c r="XA91" s="20"/>
      <c r="XB91" s="20"/>
      <c r="XC91" s="20"/>
      <c r="XD91" s="20"/>
      <c r="XE91" s="20"/>
      <c r="XF91" s="20"/>
      <c r="XG91" s="20"/>
      <c r="XH91" s="20"/>
      <c r="XI91" s="20"/>
      <c r="XJ91" s="20"/>
      <c r="XK91" s="20"/>
      <c r="XL91" s="20"/>
      <c r="XM91" s="20"/>
      <c r="XN91" s="20"/>
      <c r="XO91" s="20"/>
      <c r="XP91" s="20"/>
      <c r="XQ91" s="20"/>
      <c r="XR91" s="20"/>
      <c r="XS91" s="20"/>
      <c r="XT91" s="20"/>
      <c r="XU91" s="20"/>
      <c r="XV91" s="20"/>
      <c r="XW91" s="20"/>
      <c r="XX91" s="20"/>
      <c r="XY91" s="20"/>
      <c r="XZ91" s="20"/>
      <c r="YA91" s="20"/>
      <c r="YB91" s="20"/>
      <c r="YC91" s="20"/>
      <c r="YD91" s="20"/>
      <c r="YE91" s="20"/>
      <c r="YF91" s="20"/>
      <c r="YG91" s="20"/>
      <c r="YH91" s="20"/>
      <c r="YI91" s="20"/>
      <c r="YJ91" s="20"/>
      <c r="YK91" s="20"/>
      <c r="YL91" s="20"/>
      <c r="YM91" s="20"/>
      <c r="YN91" s="20"/>
      <c r="YO91" s="20"/>
      <c r="YP91" s="20"/>
      <c r="YQ91" s="20"/>
      <c r="YR91" s="20"/>
      <c r="YS91" s="20"/>
      <c r="YT91" s="20"/>
      <c r="YU91" s="20"/>
      <c r="YV91" s="20"/>
      <c r="YW91" s="20"/>
      <c r="YX91" s="20"/>
      <c r="YY91" s="20"/>
      <c r="YZ91" s="20"/>
      <c r="ZA91" s="20"/>
      <c r="ZB91" s="20"/>
      <c r="ZC91" s="20"/>
      <c r="ZD91" s="20"/>
      <c r="ZE91" s="20"/>
      <c r="ZF91" s="20"/>
      <c r="ZG91" s="20"/>
      <c r="ZH91" s="20"/>
      <c r="ZI91" s="20"/>
      <c r="ZJ91" s="20"/>
      <c r="ZK91" s="20"/>
      <c r="ZL91" s="20"/>
      <c r="ZM91" s="20"/>
      <c r="ZN91" s="20"/>
      <c r="ZO91" s="20"/>
      <c r="ZP91" s="20"/>
      <c r="ZQ91" s="20"/>
      <c r="ZR91" s="20"/>
      <c r="ZS91" s="20"/>
      <c r="ZT91" s="20"/>
      <c r="ZU91" s="20"/>
      <c r="ZV91" s="20"/>
      <c r="ZW91" s="20"/>
      <c r="ZX91" s="20"/>
      <c r="ZY91" s="20"/>
      <c r="ZZ91" s="20"/>
      <c r="AAA91" s="20"/>
      <c r="AAB91" s="20"/>
      <c r="AAC91" s="20"/>
      <c r="AAD91" s="20"/>
      <c r="AAE91" s="20"/>
      <c r="AAF91" s="20"/>
      <c r="AAG91" s="20"/>
      <c r="AAH91" s="20"/>
      <c r="AAI91" s="20"/>
      <c r="AAJ91" s="20"/>
      <c r="AAK91" s="20"/>
      <c r="AAL91" s="20"/>
      <c r="AAM91" s="20"/>
      <c r="AAN91" s="20"/>
      <c r="AAO91" s="20"/>
      <c r="AAP91" s="20"/>
      <c r="AAQ91" s="20"/>
      <c r="AAR91" s="20"/>
      <c r="AAS91" s="20"/>
      <c r="AAT91" s="20"/>
      <c r="AAU91" s="20"/>
      <c r="AAV91" s="20"/>
      <c r="AAW91" s="20"/>
      <c r="AAX91" s="20"/>
      <c r="AAY91" s="20"/>
      <c r="AAZ91" s="20"/>
      <c r="ABA91" s="20"/>
      <c r="ABB91" s="20"/>
      <c r="ABC91" s="20"/>
      <c r="ABD91" s="20"/>
      <c r="ABE91" s="20"/>
      <c r="ABF91" s="20"/>
      <c r="ABG91" s="20"/>
      <c r="ABH91" s="20"/>
      <c r="ABI91" s="20"/>
      <c r="ABJ91" s="20"/>
      <c r="ABK91" s="20"/>
      <c r="ABL91" s="20"/>
      <c r="ABM91" s="20"/>
      <c r="ABN91" s="20"/>
      <c r="ABO91" s="20"/>
      <c r="ABP91" s="20"/>
      <c r="ABQ91" s="20"/>
      <c r="ABR91" s="20"/>
      <c r="ABS91" s="20"/>
      <c r="ABT91" s="20"/>
      <c r="ABU91" s="20"/>
      <c r="ABV91" s="20"/>
      <c r="ABW91" s="20"/>
      <c r="ABX91" s="20"/>
      <c r="ABY91" s="20"/>
      <c r="ABZ91" s="20"/>
      <c r="ACA91" s="20"/>
      <c r="ACB91" s="20"/>
      <c r="ACC91" s="20"/>
      <c r="ACD91" s="20"/>
      <c r="ACE91" s="20"/>
      <c r="ACF91" s="20"/>
      <c r="ACG91" s="20"/>
      <c r="ACH91" s="20"/>
      <c r="ACI91" s="20"/>
      <c r="ACJ91" s="20"/>
      <c r="ACK91" s="20"/>
      <c r="ACL91" s="20"/>
      <c r="ACM91" s="20"/>
      <c r="ACN91" s="20"/>
      <c r="ACO91" s="20"/>
      <c r="ACP91" s="20"/>
      <c r="ACQ91" s="20"/>
    </row>
    <row r="92" spans="1:771" s="62" customFormat="1" ht="102">
      <c r="A92" s="20"/>
      <c r="B92" s="61" t="s">
        <v>385</v>
      </c>
      <c r="D92" s="61" t="s">
        <v>370</v>
      </c>
      <c r="F92" s="63" t="s">
        <v>370</v>
      </c>
      <c r="H92" s="61" t="s">
        <v>88</v>
      </c>
      <c r="J92" s="61" t="s">
        <v>365</v>
      </c>
      <c r="L92" s="61" t="s">
        <v>74</v>
      </c>
      <c r="N92" s="61" t="s">
        <v>96</v>
      </c>
      <c r="P92" s="61" t="s">
        <v>386</v>
      </c>
      <c r="R92" s="61" t="s">
        <v>77</v>
      </c>
      <c r="T92" s="65" t="s">
        <v>387</v>
      </c>
      <c r="U92" s="66"/>
      <c r="V92" s="67" t="s">
        <v>79</v>
      </c>
      <c r="W92" s="68"/>
      <c r="X92" s="67" t="s">
        <v>80</v>
      </c>
      <c r="Y92" s="68"/>
      <c r="Z92" s="67" t="s">
        <v>80</v>
      </c>
      <c r="AA92" s="68"/>
      <c r="AB92" s="63" t="s">
        <v>383</v>
      </c>
      <c r="AD92" s="63" t="s">
        <v>388</v>
      </c>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c r="JA92" s="20"/>
      <c r="JB92" s="20"/>
      <c r="JC92" s="20"/>
      <c r="JD92" s="20"/>
      <c r="JE92" s="20"/>
      <c r="JF92" s="20"/>
      <c r="JG92" s="20"/>
      <c r="JH92" s="20"/>
      <c r="JI92" s="20"/>
      <c r="JJ92" s="20"/>
      <c r="JK92" s="20"/>
      <c r="JL92" s="20"/>
      <c r="JM92" s="20"/>
      <c r="JN92" s="20"/>
      <c r="JO92" s="20"/>
      <c r="JP92" s="20"/>
      <c r="JQ92" s="20"/>
      <c r="JR92" s="20"/>
      <c r="JS92" s="20"/>
      <c r="JT92" s="20"/>
      <c r="JU92" s="20"/>
      <c r="JV92" s="20"/>
      <c r="JW92" s="20"/>
      <c r="JX92" s="20"/>
      <c r="JY92" s="20"/>
      <c r="JZ92" s="20"/>
      <c r="KA92" s="20"/>
      <c r="KB92" s="20"/>
      <c r="KC92" s="20"/>
      <c r="KD92" s="20"/>
      <c r="KE92" s="20"/>
      <c r="KF92" s="20"/>
      <c r="KG92" s="20"/>
      <c r="KH92" s="20"/>
      <c r="KI92" s="20"/>
      <c r="KJ92" s="20"/>
      <c r="KK92" s="20"/>
      <c r="KL92" s="20"/>
      <c r="KM92" s="20"/>
      <c r="KN92" s="20"/>
      <c r="KO92" s="20"/>
      <c r="KP92" s="20"/>
      <c r="KQ92" s="20"/>
      <c r="KR92" s="20"/>
      <c r="KS92" s="20"/>
      <c r="KT92" s="20"/>
      <c r="KU92" s="20"/>
      <c r="KV92" s="20"/>
      <c r="KW92" s="20"/>
      <c r="KX92" s="20"/>
      <c r="KY92" s="20"/>
      <c r="KZ92" s="20"/>
      <c r="LA92" s="20"/>
      <c r="LB92" s="20"/>
      <c r="LC92" s="20"/>
      <c r="LD92" s="20"/>
      <c r="LE92" s="20"/>
      <c r="LF92" s="20"/>
      <c r="LG92" s="20"/>
      <c r="LH92" s="20"/>
      <c r="LI92" s="20"/>
      <c r="LJ92" s="20"/>
      <c r="LK92" s="20"/>
      <c r="LL92" s="20"/>
      <c r="LM92" s="20"/>
      <c r="LN92" s="20"/>
      <c r="LO92" s="20"/>
      <c r="LP92" s="20"/>
      <c r="LQ92" s="20"/>
      <c r="LR92" s="20"/>
      <c r="LS92" s="20"/>
      <c r="LT92" s="20"/>
      <c r="LU92" s="20"/>
      <c r="LV92" s="20"/>
      <c r="LW92" s="20"/>
      <c r="LX92" s="20"/>
      <c r="LY92" s="20"/>
      <c r="LZ92" s="20"/>
      <c r="MA92" s="20"/>
      <c r="MB92" s="20"/>
      <c r="MC92" s="20"/>
      <c r="MD92" s="20"/>
      <c r="ME92" s="20"/>
      <c r="MF92" s="20"/>
      <c r="MG92" s="20"/>
      <c r="MH92" s="20"/>
      <c r="MI92" s="20"/>
      <c r="MJ92" s="20"/>
      <c r="MK92" s="20"/>
      <c r="ML92" s="20"/>
      <c r="MM92" s="20"/>
      <c r="MN92" s="20"/>
      <c r="MO92" s="20"/>
      <c r="MP92" s="20"/>
      <c r="MQ92" s="20"/>
      <c r="MR92" s="20"/>
      <c r="MS92" s="20"/>
      <c r="MT92" s="20"/>
      <c r="MU92" s="20"/>
      <c r="MV92" s="20"/>
      <c r="MW92" s="20"/>
      <c r="MX92" s="20"/>
      <c r="MY92" s="20"/>
      <c r="MZ92" s="20"/>
      <c r="NA92" s="20"/>
      <c r="NB92" s="20"/>
      <c r="NC92" s="20"/>
      <c r="ND92" s="20"/>
      <c r="NE92" s="20"/>
      <c r="NF92" s="20"/>
      <c r="NG92" s="20"/>
      <c r="NH92" s="20"/>
      <c r="NI92" s="20"/>
      <c r="NJ92" s="20"/>
      <c r="NK92" s="20"/>
      <c r="NL92" s="20"/>
      <c r="NM92" s="20"/>
      <c r="NN92" s="20"/>
      <c r="NO92" s="20"/>
      <c r="NP92" s="20"/>
      <c r="NQ92" s="20"/>
      <c r="NR92" s="20"/>
      <c r="NS92" s="20"/>
      <c r="NT92" s="20"/>
      <c r="NU92" s="20"/>
      <c r="NV92" s="20"/>
      <c r="NW92" s="20"/>
      <c r="NX92" s="20"/>
      <c r="NY92" s="20"/>
      <c r="NZ92" s="20"/>
      <c r="OA92" s="20"/>
      <c r="OB92" s="20"/>
      <c r="OC92" s="20"/>
      <c r="OD92" s="20"/>
      <c r="OE92" s="20"/>
      <c r="OF92" s="20"/>
      <c r="OG92" s="20"/>
      <c r="OH92" s="20"/>
      <c r="OI92" s="20"/>
      <c r="OJ92" s="20"/>
      <c r="OK92" s="20"/>
      <c r="OL92" s="20"/>
      <c r="OM92" s="20"/>
      <c r="ON92" s="20"/>
      <c r="OO92" s="20"/>
      <c r="OP92" s="20"/>
      <c r="OQ92" s="20"/>
      <c r="OR92" s="20"/>
      <c r="OS92" s="20"/>
      <c r="OT92" s="20"/>
      <c r="OU92" s="20"/>
      <c r="OV92" s="20"/>
      <c r="OW92" s="20"/>
      <c r="OX92" s="20"/>
      <c r="OY92" s="20"/>
      <c r="OZ92" s="20"/>
      <c r="PA92" s="20"/>
      <c r="PB92" s="20"/>
      <c r="PC92" s="20"/>
      <c r="PD92" s="20"/>
      <c r="PE92" s="20"/>
      <c r="PF92" s="20"/>
      <c r="PG92" s="20"/>
      <c r="PH92" s="20"/>
      <c r="PI92" s="20"/>
      <c r="PJ92" s="20"/>
      <c r="PK92" s="20"/>
      <c r="PL92" s="20"/>
      <c r="PM92" s="20"/>
      <c r="PN92" s="20"/>
      <c r="PO92" s="20"/>
      <c r="PP92" s="20"/>
      <c r="PQ92" s="20"/>
      <c r="PR92" s="20"/>
      <c r="PS92" s="20"/>
      <c r="PT92" s="20"/>
      <c r="PU92" s="20"/>
      <c r="PV92" s="20"/>
      <c r="PW92" s="20"/>
      <c r="PX92" s="20"/>
      <c r="PY92" s="20"/>
      <c r="PZ92" s="20"/>
      <c r="QA92" s="20"/>
      <c r="QB92" s="20"/>
      <c r="QC92" s="20"/>
      <c r="QD92" s="20"/>
      <c r="QE92" s="20"/>
      <c r="QF92" s="20"/>
      <c r="QG92" s="20"/>
      <c r="QH92" s="20"/>
      <c r="QI92" s="20"/>
      <c r="QJ92" s="20"/>
      <c r="QK92" s="20"/>
      <c r="QL92" s="20"/>
      <c r="QM92" s="20"/>
      <c r="QN92" s="20"/>
      <c r="QO92" s="20"/>
      <c r="QP92" s="20"/>
      <c r="QQ92" s="20"/>
      <c r="QR92" s="20"/>
      <c r="QS92" s="20"/>
      <c r="QT92" s="20"/>
      <c r="QU92" s="20"/>
      <c r="QV92" s="20"/>
      <c r="QW92" s="20"/>
      <c r="QX92" s="20"/>
      <c r="QY92" s="20"/>
      <c r="QZ92" s="20"/>
      <c r="RA92" s="20"/>
      <c r="RB92" s="20"/>
      <c r="RC92" s="20"/>
      <c r="RD92" s="20"/>
      <c r="RE92" s="20"/>
      <c r="RF92" s="20"/>
      <c r="RG92" s="20"/>
      <c r="RH92" s="20"/>
      <c r="RI92" s="20"/>
      <c r="RJ92" s="20"/>
      <c r="RK92" s="20"/>
      <c r="RL92" s="20"/>
      <c r="RM92" s="20"/>
      <c r="RN92" s="20"/>
      <c r="RO92" s="20"/>
      <c r="RP92" s="20"/>
      <c r="RQ92" s="20"/>
      <c r="RR92" s="20"/>
      <c r="RS92" s="20"/>
      <c r="RT92" s="20"/>
      <c r="RU92" s="20"/>
      <c r="RV92" s="20"/>
      <c r="RW92" s="20"/>
      <c r="RX92" s="20"/>
      <c r="RY92" s="20"/>
      <c r="RZ92" s="20"/>
      <c r="SA92" s="20"/>
      <c r="SB92" s="20"/>
      <c r="SC92" s="20"/>
      <c r="SD92" s="20"/>
      <c r="SE92" s="20"/>
      <c r="SF92" s="20"/>
      <c r="SG92" s="20"/>
      <c r="SH92" s="20"/>
      <c r="SI92" s="20"/>
      <c r="SJ92" s="20"/>
      <c r="SK92" s="20"/>
      <c r="SL92" s="20"/>
      <c r="SM92" s="20"/>
      <c r="SN92" s="20"/>
      <c r="SO92" s="20"/>
      <c r="SP92" s="20"/>
      <c r="SQ92" s="20"/>
      <c r="SR92" s="20"/>
      <c r="SS92" s="20"/>
      <c r="ST92" s="20"/>
      <c r="SU92" s="20"/>
      <c r="SV92" s="20"/>
      <c r="SW92" s="20"/>
      <c r="SX92" s="20"/>
      <c r="SY92" s="20"/>
      <c r="SZ92" s="20"/>
      <c r="TA92" s="20"/>
      <c r="TB92" s="20"/>
      <c r="TC92" s="20"/>
      <c r="TD92" s="20"/>
      <c r="TE92" s="20"/>
      <c r="TF92" s="20"/>
      <c r="TG92" s="20"/>
      <c r="TH92" s="20"/>
      <c r="TI92" s="20"/>
      <c r="TJ92" s="20"/>
      <c r="TK92" s="20"/>
      <c r="TL92" s="20"/>
      <c r="TM92" s="20"/>
      <c r="TN92" s="20"/>
      <c r="TO92" s="20"/>
      <c r="TP92" s="20"/>
      <c r="TQ92" s="20"/>
      <c r="TR92" s="20"/>
      <c r="TS92" s="20"/>
      <c r="TT92" s="20"/>
      <c r="TU92" s="20"/>
      <c r="TV92" s="20"/>
      <c r="TW92" s="20"/>
      <c r="TX92" s="20"/>
      <c r="TY92" s="20"/>
      <c r="TZ92" s="20"/>
      <c r="UA92" s="20"/>
      <c r="UB92" s="20"/>
      <c r="UC92" s="20"/>
      <c r="UD92" s="20"/>
      <c r="UE92" s="20"/>
      <c r="UF92" s="20"/>
      <c r="UG92" s="20"/>
      <c r="UH92" s="20"/>
      <c r="UI92" s="20"/>
      <c r="UJ92" s="20"/>
      <c r="UK92" s="20"/>
      <c r="UL92" s="20"/>
      <c r="UM92" s="20"/>
      <c r="UN92" s="20"/>
      <c r="UO92" s="20"/>
      <c r="UP92" s="20"/>
      <c r="UQ92" s="20"/>
      <c r="UR92" s="20"/>
      <c r="US92" s="20"/>
      <c r="UT92" s="20"/>
      <c r="UU92" s="20"/>
      <c r="UV92" s="20"/>
      <c r="UW92" s="20"/>
      <c r="UX92" s="20"/>
      <c r="UY92" s="20"/>
      <c r="UZ92" s="20"/>
      <c r="VA92" s="20"/>
      <c r="VB92" s="20"/>
      <c r="VC92" s="20"/>
      <c r="VD92" s="20"/>
      <c r="VE92" s="20"/>
      <c r="VF92" s="20"/>
      <c r="VG92" s="20"/>
      <c r="VH92" s="20"/>
      <c r="VI92" s="20"/>
      <c r="VJ92" s="20"/>
      <c r="VK92" s="20"/>
      <c r="VL92" s="20"/>
      <c r="VM92" s="20"/>
      <c r="VN92" s="20"/>
      <c r="VO92" s="20"/>
      <c r="VP92" s="20"/>
      <c r="VQ92" s="20"/>
      <c r="VR92" s="20"/>
      <c r="VS92" s="20"/>
      <c r="VT92" s="20"/>
      <c r="VU92" s="20"/>
      <c r="VV92" s="20"/>
      <c r="VW92" s="20"/>
      <c r="VX92" s="20"/>
      <c r="VY92" s="20"/>
      <c r="VZ92" s="20"/>
      <c r="WA92" s="20"/>
      <c r="WB92" s="20"/>
      <c r="WC92" s="20"/>
      <c r="WD92" s="20"/>
      <c r="WE92" s="20"/>
      <c r="WF92" s="20"/>
      <c r="WG92" s="20"/>
      <c r="WH92" s="20"/>
      <c r="WI92" s="20"/>
      <c r="WJ92" s="20"/>
      <c r="WK92" s="20"/>
      <c r="WL92" s="20"/>
      <c r="WM92" s="20"/>
      <c r="WN92" s="20"/>
      <c r="WO92" s="20"/>
      <c r="WP92" s="20"/>
      <c r="WQ92" s="20"/>
      <c r="WR92" s="20"/>
      <c r="WS92" s="20"/>
      <c r="WT92" s="20"/>
      <c r="WU92" s="20"/>
      <c r="WV92" s="20"/>
      <c r="WW92" s="20"/>
      <c r="WX92" s="20"/>
      <c r="WY92" s="20"/>
      <c r="WZ92" s="20"/>
      <c r="XA92" s="20"/>
      <c r="XB92" s="20"/>
      <c r="XC92" s="20"/>
      <c r="XD92" s="20"/>
      <c r="XE92" s="20"/>
      <c r="XF92" s="20"/>
      <c r="XG92" s="20"/>
      <c r="XH92" s="20"/>
      <c r="XI92" s="20"/>
      <c r="XJ92" s="20"/>
      <c r="XK92" s="20"/>
      <c r="XL92" s="20"/>
      <c r="XM92" s="20"/>
      <c r="XN92" s="20"/>
      <c r="XO92" s="20"/>
      <c r="XP92" s="20"/>
      <c r="XQ92" s="20"/>
      <c r="XR92" s="20"/>
      <c r="XS92" s="20"/>
      <c r="XT92" s="20"/>
      <c r="XU92" s="20"/>
      <c r="XV92" s="20"/>
      <c r="XW92" s="20"/>
      <c r="XX92" s="20"/>
      <c r="XY92" s="20"/>
      <c r="XZ92" s="20"/>
      <c r="YA92" s="20"/>
      <c r="YB92" s="20"/>
      <c r="YC92" s="20"/>
      <c r="YD92" s="20"/>
      <c r="YE92" s="20"/>
      <c r="YF92" s="20"/>
      <c r="YG92" s="20"/>
      <c r="YH92" s="20"/>
      <c r="YI92" s="20"/>
      <c r="YJ92" s="20"/>
      <c r="YK92" s="20"/>
      <c r="YL92" s="20"/>
      <c r="YM92" s="20"/>
      <c r="YN92" s="20"/>
      <c r="YO92" s="20"/>
      <c r="YP92" s="20"/>
      <c r="YQ92" s="20"/>
      <c r="YR92" s="20"/>
      <c r="YS92" s="20"/>
      <c r="YT92" s="20"/>
      <c r="YU92" s="20"/>
      <c r="YV92" s="20"/>
      <c r="YW92" s="20"/>
      <c r="YX92" s="20"/>
      <c r="YY92" s="20"/>
      <c r="YZ92" s="20"/>
      <c r="ZA92" s="20"/>
      <c r="ZB92" s="20"/>
      <c r="ZC92" s="20"/>
      <c r="ZD92" s="20"/>
      <c r="ZE92" s="20"/>
      <c r="ZF92" s="20"/>
      <c r="ZG92" s="20"/>
      <c r="ZH92" s="20"/>
      <c r="ZI92" s="20"/>
      <c r="ZJ92" s="20"/>
      <c r="ZK92" s="20"/>
      <c r="ZL92" s="20"/>
      <c r="ZM92" s="20"/>
      <c r="ZN92" s="20"/>
      <c r="ZO92" s="20"/>
      <c r="ZP92" s="20"/>
      <c r="ZQ92" s="20"/>
      <c r="ZR92" s="20"/>
      <c r="ZS92" s="20"/>
      <c r="ZT92" s="20"/>
      <c r="ZU92" s="20"/>
      <c r="ZV92" s="20"/>
      <c r="ZW92" s="20"/>
      <c r="ZX92" s="20"/>
      <c r="ZY92" s="20"/>
      <c r="ZZ92" s="20"/>
      <c r="AAA92" s="20"/>
      <c r="AAB92" s="20"/>
      <c r="AAC92" s="20"/>
      <c r="AAD92" s="20"/>
      <c r="AAE92" s="20"/>
      <c r="AAF92" s="20"/>
      <c r="AAG92" s="20"/>
      <c r="AAH92" s="20"/>
      <c r="AAI92" s="20"/>
      <c r="AAJ92" s="20"/>
      <c r="AAK92" s="20"/>
      <c r="AAL92" s="20"/>
      <c r="AAM92" s="20"/>
      <c r="AAN92" s="20"/>
      <c r="AAO92" s="20"/>
      <c r="AAP92" s="20"/>
      <c r="AAQ92" s="20"/>
      <c r="AAR92" s="20"/>
      <c r="AAS92" s="20"/>
      <c r="AAT92" s="20"/>
      <c r="AAU92" s="20"/>
      <c r="AAV92" s="20"/>
      <c r="AAW92" s="20"/>
      <c r="AAX92" s="20"/>
      <c r="AAY92" s="20"/>
      <c r="AAZ92" s="20"/>
      <c r="ABA92" s="20"/>
      <c r="ABB92" s="20"/>
      <c r="ABC92" s="20"/>
      <c r="ABD92" s="20"/>
      <c r="ABE92" s="20"/>
      <c r="ABF92" s="20"/>
      <c r="ABG92" s="20"/>
      <c r="ABH92" s="20"/>
      <c r="ABI92" s="20"/>
      <c r="ABJ92" s="20"/>
      <c r="ABK92" s="20"/>
      <c r="ABL92" s="20"/>
      <c r="ABM92" s="20"/>
      <c r="ABN92" s="20"/>
      <c r="ABO92" s="20"/>
      <c r="ABP92" s="20"/>
      <c r="ABQ92" s="20"/>
      <c r="ABR92" s="20"/>
      <c r="ABS92" s="20"/>
      <c r="ABT92" s="20"/>
      <c r="ABU92" s="20"/>
      <c r="ABV92" s="20"/>
      <c r="ABW92" s="20"/>
      <c r="ABX92" s="20"/>
      <c r="ABY92" s="20"/>
      <c r="ABZ92" s="20"/>
      <c r="ACA92" s="20"/>
      <c r="ACB92" s="20"/>
      <c r="ACC92" s="20"/>
      <c r="ACD92" s="20"/>
      <c r="ACE92" s="20"/>
      <c r="ACF92" s="20"/>
      <c r="ACG92" s="20"/>
      <c r="ACH92" s="20"/>
      <c r="ACI92" s="20"/>
      <c r="ACJ92" s="20"/>
      <c r="ACK92" s="20"/>
      <c r="ACL92" s="20"/>
      <c r="ACM92" s="20"/>
      <c r="ACN92" s="20"/>
      <c r="ACO92" s="20"/>
      <c r="ACP92" s="20"/>
      <c r="ACQ92" s="20"/>
    </row>
    <row r="93" spans="1:771" s="62" customFormat="1" ht="102">
      <c r="A93" s="20"/>
      <c r="B93" s="61" t="s">
        <v>389</v>
      </c>
      <c r="D93" s="61" t="s">
        <v>370</v>
      </c>
      <c r="F93" s="63" t="s">
        <v>370</v>
      </c>
      <c r="H93" s="61" t="s">
        <v>88</v>
      </c>
      <c r="J93" s="61" t="s">
        <v>365</v>
      </c>
      <c r="L93" s="61" t="s">
        <v>74</v>
      </c>
      <c r="N93" s="61" t="s">
        <v>103</v>
      </c>
      <c r="P93" s="61" t="s">
        <v>390</v>
      </c>
      <c r="R93" s="61" t="s">
        <v>77</v>
      </c>
      <c r="T93" s="65" t="s">
        <v>391</v>
      </c>
      <c r="U93" s="66"/>
      <c r="V93" s="67" t="s">
        <v>79</v>
      </c>
      <c r="W93" s="68"/>
      <c r="X93" s="67" t="s">
        <v>80</v>
      </c>
      <c r="Y93" s="68"/>
      <c r="Z93" s="67" t="s">
        <v>80</v>
      </c>
      <c r="AA93" s="68"/>
      <c r="AB93" s="63" t="s">
        <v>383</v>
      </c>
      <c r="AD93" s="63" t="s">
        <v>392</v>
      </c>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c r="IW93" s="20"/>
      <c r="IX93" s="20"/>
      <c r="IY93" s="20"/>
      <c r="IZ93" s="20"/>
      <c r="JA93" s="20"/>
      <c r="JB93" s="20"/>
      <c r="JC93" s="20"/>
      <c r="JD93" s="20"/>
      <c r="JE93" s="20"/>
      <c r="JF93" s="20"/>
      <c r="JG93" s="20"/>
      <c r="JH93" s="20"/>
      <c r="JI93" s="20"/>
      <c r="JJ93" s="20"/>
      <c r="JK93" s="20"/>
      <c r="JL93" s="20"/>
      <c r="JM93" s="20"/>
      <c r="JN93" s="20"/>
      <c r="JO93" s="20"/>
      <c r="JP93" s="20"/>
      <c r="JQ93" s="20"/>
      <c r="JR93" s="20"/>
      <c r="JS93" s="20"/>
      <c r="JT93" s="20"/>
      <c r="JU93" s="20"/>
      <c r="JV93" s="20"/>
      <c r="JW93" s="20"/>
      <c r="JX93" s="20"/>
      <c r="JY93" s="20"/>
      <c r="JZ93" s="20"/>
      <c r="KA93" s="20"/>
      <c r="KB93" s="20"/>
      <c r="KC93" s="20"/>
      <c r="KD93" s="20"/>
      <c r="KE93" s="20"/>
      <c r="KF93" s="20"/>
      <c r="KG93" s="20"/>
      <c r="KH93" s="20"/>
      <c r="KI93" s="20"/>
      <c r="KJ93" s="20"/>
      <c r="KK93" s="20"/>
      <c r="KL93" s="20"/>
      <c r="KM93" s="20"/>
      <c r="KN93" s="20"/>
      <c r="KO93" s="20"/>
      <c r="KP93" s="20"/>
      <c r="KQ93" s="20"/>
      <c r="KR93" s="20"/>
      <c r="KS93" s="20"/>
      <c r="KT93" s="20"/>
      <c r="KU93" s="20"/>
      <c r="KV93" s="20"/>
      <c r="KW93" s="20"/>
      <c r="KX93" s="20"/>
      <c r="KY93" s="20"/>
      <c r="KZ93" s="20"/>
      <c r="LA93" s="20"/>
      <c r="LB93" s="20"/>
      <c r="LC93" s="20"/>
      <c r="LD93" s="20"/>
      <c r="LE93" s="20"/>
      <c r="LF93" s="20"/>
      <c r="LG93" s="20"/>
      <c r="LH93" s="20"/>
      <c r="LI93" s="20"/>
      <c r="LJ93" s="20"/>
      <c r="LK93" s="20"/>
      <c r="LL93" s="20"/>
      <c r="LM93" s="20"/>
      <c r="LN93" s="20"/>
      <c r="LO93" s="20"/>
      <c r="LP93" s="20"/>
      <c r="LQ93" s="20"/>
      <c r="LR93" s="20"/>
      <c r="LS93" s="20"/>
      <c r="LT93" s="20"/>
      <c r="LU93" s="20"/>
      <c r="LV93" s="20"/>
      <c r="LW93" s="20"/>
      <c r="LX93" s="20"/>
      <c r="LY93" s="20"/>
      <c r="LZ93" s="20"/>
      <c r="MA93" s="20"/>
      <c r="MB93" s="20"/>
      <c r="MC93" s="20"/>
      <c r="MD93" s="20"/>
      <c r="ME93" s="20"/>
      <c r="MF93" s="20"/>
      <c r="MG93" s="20"/>
      <c r="MH93" s="20"/>
      <c r="MI93" s="20"/>
      <c r="MJ93" s="20"/>
      <c r="MK93" s="20"/>
      <c r="ML93" s="20"/>
      <c r="MM93" s="20"/>
      <c r="MN93" s="20"/>
      <c r="MO93" s="20"/>
      <c r="MP93" s="20"/>
      <c r="MQ93" s="20"/>
      <c r="MR93" s="20"/>
      <c r="MS93" s="20"/>
      <c r="MT93" s="20"/>
      <c r="MU93" s="20"/>
      <c r="MV93" s="20"/>
      <c r="MW93" s="20"/>
      <c r="MX93" s="20"/>
      <c r="MY93" s="20"/>
      <c r="MZ93" s="20"/>
      <c r="NA93" s="20"/>
      <c r="NB93" s="20"/>
      <c r="NC93" s="20"/>
      <c r="ND93" s="20"/>
      <c r="NE93" s="20"/>
      <c r="NF93" s="20"/>
      <c r="NG93" s="20"/>
      <c r="NH93" s="20"/>
      <c r="NI93" s="20"/>
      <c r="NJ93" s="20"/>
      <c r="NK93" s="20"/>
      <c r="NL93" s="20"/>
      <c r="NM93" s="20"/>
      <c r="NN93" s="20"/>
      <c r="NO93" s="20"/>
      <c r="NP93" s="20"/>
      <c r="NQ93" s="20"/>
      <c r="NR93" s="20"/>
      <c r="NS93" s="20"/>
      <c r="NT93" s="20"/>
      <c r="NU93" s="20"/>
      <c r="NV93" s="20"/>
      <c r="NW93" s="20"/>
      <c r="NX93" s="20"/>
      <c r="NY93" s="20"/>
      <c r="NZ93" s="20"/>
      <c r="OA93" s="20"/>
      <c r="OB93" s="20"/>
      <c r="OC93" s="20"/>
      <c r="OD93" s="20"/>
      <c r="OE93" s="20"/>
      <c r="OF93" s="20"/>
      <c r="OG93" s="20"/>
      <c r="OH93" s="20"/>
      <c r="OI93" s="20"/>
      <c r="OJ93" s="20"/>
      <c r="OK93" s="20"/>
      <c r="OL93" s="20"/>
      <c r="OM93" s="20"/>
      <c r="ON93" s="20"/>
      <c r="OO93" s="20"/>
      <c r="OP93" s="20"/>
      <c r="OQ93" s="20"/>
      <c r="OR93" s="20"/>
      <c r="OS93" s="20"/>
      <c r="OT93" s="20"/>
      <c r="OU93" s="20"/>
      <c r="OV93" s="20"/>
      <c r="OW93" s="20"/>
      <c r="OX93" s="20"/>
      <c r="OY93" s="20"/>
      <c r="OZ93" s="20"/>
      <c r="PA93" s="20"/>
      <c r="PB93" s="20"/>
      <c r="PC93" s="20"/>
      <c r="PD93" s="20"/>
      <c r="PE93" s="20"/>
      <c r="PF93" s="20"/>
      <c r="PG93" s="20"/>
      <c r="PH93" s="20"/>
      <c r="PI93" s="20"/>
      <c r="PJ93" s="20"/>
      <c r="PK93" s="20"/>
      <c r="PL93" s="20"/>
      <c r="PM93" s="20"/>
      <c r="PN93" s="20"/>
      <c r="PO93" s="20"/>
      <c r="PP93" s="20"/>
      <c r="PQ93" s="20"/>
      <c r="PR93" s="20"/>
      <c r="PS93" s="20"/>
      <c r="PT93" s="20"/>
      <c r="PU93" s="20"/>
      <c r="PV93" s="20"/>
      <c r="PW93" s="20"/>
      <c r="PX93" s="20"/>
      <c r="PY93" s="20"/>
      <c r="PZ93" s="20"/>
      <c r="QA93" s="20"/>
      <c r="QB93" s="20"/>
      <c r="QC93" s="20"/>
      <c r="QD93" s="20"/>
      <c r="QE93" s="20"/>
      <c r="QF93" s="20"/>
      <c r="QG93" s="20"/>
      <c r="QH93" s="20"/>
      <c r="QI93" s="20"/>
      <c r="QJ93" s="20"/>
      <c r="QK93" s="20"/>
      <c r="QL93" s="20"/>
      <c r="QM93" s="20"/>
      <c r="QN93" s="20"/>
      <c r="QO93" s="20"/>
      <c r="QP93" s="20"/>
      <c r="QQ93" s="20"/>
      <c r="QR93" s="20"/>
      <c r="QS93" s="20"/>
      <c r="QT93" s="20"/>
      <c r="QU93" s="20"/>
      <c r="QV93" s="20"/>
      <c r="QW93" s="20"/>
      <c r="QX93" s="20"/>
      <c r="QY93" s="20"/>
      <c r="QZ93" s="20"/>
      <c r="RA93" s="20"/>
      <c r="RB93" s="20"/>
      <c r="RC93" s="20"/>
      <c r="RD93" s="20"/>
      <c r="RE93" s="20"/>
      <c r="RF93" s="20"/>
      <c r="RG93" s="20"/>
      <c r="RH93" s="20"/>
      <c r="RI93" s="20"/>
      <c r="RJ93" s="20"/>
      <c r="RK93" s="20"/>
      <c r="RL93" s="20"/>
      <c r="RM93" s="20"/>
      <c r="RN93" s="20"/>
      <c r="RO93" s="20"/>
      <c r="RP93" s="20"/>
      <c r="RQ93" s="20"/>
      <c r="RR93" s="20"/>
      <c r="RS93" s="20"/>
      <c r="RT93" s="20"/>
      <c r="RU93" s="20"/>
      <c r="RV93" s="20"/>
      <c r="RW93" s="20"/>
      <c r="RX93" s="20"/>
      <c r="RY93" s="20"/>
      <c r="RZ93" s="20"/>
      <c r="SA93" s="20"/>
      <c r="SB93" s="20"/>
      <c r="SC93" s="20"/>
      <c r="SD93" s="20"/>
      <c r="SE93" s="20"/>
      <c r="SF93" s="20"/>
      <c r="SG93" s="20"/>
      <c r="SH93" s="20"/>
      <c r="SI93" s="20"/>
      <c r="SJ93" s="20"/>
      <c r="SK93" s="20"/>
      <c r="SL93" s="20"/>
      <c r="SM93" s="20"/>
      <c r="SN93" s="20"/>
      <c r="SO93" s="20"/>
      <c r="SP93" s="20"/>
      <c r="SQ93" s="20"/>
      <c r="SR93" s="20"/>
      <c r="SS93" s="20"/>
      <c r="ST93" s="20"/>
      <c r="SU93" s="20"/>
      <c r="SV93" s="20"/>
      <c r="SW93" s="20"/>
      <c r="SX93" s="20"/>
      <c r="SY93" s="20"/>
      <c r="SZ93" s="20"/>
      <c r="TA93" s="20"/>
      <c r="TB93" s="20"/>
      <c r="TC93" s="20"/>
      <c r="TD93" s="20"/>
      <c r="TE93" s="20"/>
      <c r="TF93" s="20"/>
      <c r="TG93" s="20"/>
      <c r="TH93" s="20"/>
      <c r="TI93" s="20"/>
      <c r="TJ93" s="20"/>
      <c r="TK93" s="20"/>
      <c r="TL93" s="20"/>
      <c r="TM93" s="20"/>
      <c r="TN93" s="20"/>
      <c r="TO93" s="20"/>
      <c r="TP93" s="20"/>
      <c r="TQ93" s="20"/>
      <c r="TR93" s="20"/>
      <c r="TS93" s="20"/>
      <c r="TT93" s="20"/>
      <c r="TU93" s="20"/>
      <c r="TV93" s="20"/>
      <c r="TW93" s="20"/>
      <c r="TX93" s="20"/>
      <c r="TY93" s="20"/>
      <c r="TZ93" s="20"/>
      <c r="UA93" s="20"/>
      <c r="UB93" s="20"/>
      <c r="UC93" s="20"/>
      <c r="UD93" s="20"/>
      <c r="UE93" s="20"/>
      <c r="UF93" s="20"/>
      <c r="UG93" s="20"/>
      <c r="UH93" s="20"/>
      <c r="UI93" s="20"/>
      <c r="UJ93" s="20"/>
      <c r="UK93" s="20"/>
      <c r="UL93" s="20"/>
      <c r="UM93" s="20"/>
      <c r="UN93" s="20"/>
      <c r="UO93" s="20"/>
      <c r="UP93" s="20"/>
      <c r="UQ93" s="20"/>
      <c r="UR93" s="20"/>
      <c r="US93" s="20"/>
      <c r="UT93" s="20"/>
      <c r="UU93" s="20"/>
      <c r="UV93" s="20"/>
      <c r="UW93" s="20"/>
      <c r="UX93" s="20"/>
      <c r="UY93" s="20"/>
      <c r="UZ93" s="20"/>
      <c r="VA93" s="20"/>
      <c r="VB93" s="20"/>
      <c r="VC93" s="20"/>
      <c r="VD93" s="20"/>
      <c r="VE93" s="20"/>
      <c r="VF93" s="20"/>
      <c r="VG93" s="20"/>
      <c r="VH93" s="20"/>
      <c r="VI93" s="20"/>
      <c r="VJ93" s="20"/>
      <c r="VK93" s="20"/>
      <c r="VL93" s="20"/>
      <c r="VM93" s="20"/>
      <c r="VN93" s="20"/>
      <c r="VO93" s="20"/>
      <c r="VP93" s="20"/>
      <c r="VQ93" s="20"/>
      <c r="VR93" s="20"/>
      <c r="VS93" s="20"/>
      <c r="VT93" s="20"/>
      <c r="VU93" s="20"/>
      <c r="VV93" s="20"/>
      <c r="VW93" s="20"/>
      <c r="VX93" s="20"/>
      <c r="VY93" s="20"/>
      <c r="VZ93" s="20"/>
      <c r="WA93" s="20"/>
      <c r="WB93" s="20"/>
      <c r="WC93" s="20"/>
      <c r="WD93" s="20"/>
      <c r="WE93" s="20"/>
      <c r="WF93" s="20"/>
      <c r="WG93" s="20"/>
      <c r="WH93" s="20"/>
      <c r="WI93" s="20"/>
      <c r="WJ93" s="20"/>
      <c r="WK93" s="20"/>
      <c r="WL93" s="20"/>
      <c r="WM93" s="20"/>
      <c r="WN93" s="20"/>
      <c r="WO93" s="20"/>
      <c r="WP93" s="20"/>
      <c r="WQ93" s="20"/>
      <c r="WR93" s="20"/>
      <c r="WS93" s="20"/>
      <c r="WT93" s="20"/>
      <c r="WU93" s="20"/>
      <c r="WV93" s="20"/>
      <c r="WW93" s="20"/>
      <c r="WX93" s="20"/>
      <c r="WY93" s="20"/>
      <c r="WZ93" s="20"/>
      <c r="XA93" s="20"/>
      <c r="XB93" s="20"/>
      <c r="XC93" s="20"/>
      <c r="XD93" s="20"/>
      <c r="XE93" s="20"/>
      <c r="XF93" s="20"/>
      <c r="XG93" s="20"/>
      <c r="XH93" s="20"/>
      <c r="XI93" s="20"/>
      <c r="XJ93" s="20"/>
      <c r="XK93" s="20"/>
      <c r="XL93" s="20"/>
      <c r="XM93" s="20"/>
      <c r="XN93" s="20"/>
      <c r="XO93" s="20"/>
      <c r="XP93" s="20"/>
      <c r="XQ93" s="20"/>
      <c r="XR93" s="20"/>
      <c r="XS93" s="20"/>
      <c r="XT93" s="20"/>
      <c r="XU93" s="20"/>
      <c r="XV93" s="20"/>
      <c r="XW93" s="20"/>
      <c r="XX93" s="20"/>
      <c r="XY93" s="20"/>
      <c r="XZ93" s="20"/>
      <c r="YA93" s="20"/>
      <c r="YB93" s="20"/>
      <c r="YC93" s="20"/>
      <c r="YD93" s="20"/>
      <c r="YE93" s="20"/>
      <c r="YF93" s="20"/>
      <c r="YG93" s="20"/>
      <c r="YH93" s="20"/>
      <c r="YI93" s="20"/>
      <c r="YJ93" s="20"/>
      <c r="YK93" s="20"/>
      <c r="YL93" s="20"/>
      <c r="YM93" s="20"/>
      <c r="YN93" s="20"/>
      <c r="YO93" s="20"/>
      <c r="YP93" s="20"/>
      <c r="YQ93" s="20"/>
      <c r="YR93" s="20"/>
      <c r="YS93" s="20"/>
      <c r="YT93" s="20"/>
      <c r="YU93" s="20"/>
      <c r="YV93" s="20"/>
      <c r="YW93" s="20"/>
      <c r="YX93" s="20"/>
      <c r="YY93" s="20"/>
      <c r="YZ93" s="20"/>
      <c r="ZA93" s="20"/>
      <c r="ZB93" s="20"/>
      <c r="ZC93" s="20"/>
      <c r="ZD93" s="20"/>
      <c r="ZE93" s="20"/>
      <c r="ZF93" s="20"/>
      <c r="ZG93" s="20"/>
      <c r="ZH93" s="20"/>
      <c r="ZI93" s="20"/>
      <c r="ZJ93" s="20"/>
      <c r="ZK93" s="20"/>
      <c r="ZL93" s="20"/>
      <c r="ZM93" s="20"/>
      <c r="ZN93" s="20"/>
      <c r="ZO93" s="20"/>
      <c r="ZP93" s="20"/>
      <c r="ZQ93" s="20"/>
      <c r="ZR93" s="20"/>
      <c r="ZS93" s="20"/>
      <c r="ZT93" s="20"/>
      <c r="ZU93" s="20"/>
      <c r="ZV93" s="20"/>
      <c r="ZW93" s="20"/>
      <c r="ZX93" s="20"/>
      <c r="ZY93" s="20"/>
      <c r="ZZ93" s="20"/>
      <c r="AAA93" s="20"/>
      <c r="AAB93" s="20"/>
      <c r="AAC93" s="20"/>
      <c r="AAD93" s="20"/>
      <c r="AAE93" s="20"/>
      <c r="AAF93" s="20"/>
      <c r="AAG93" s="20"/>
      <c r="AAH93" s="20"/>
      <c r="AAI93" s="20"/>
      <c r="AAJ93" s="20"/>
      <c r="AAK93" s="20"/>
      <c r="AAL93" s="20"/>
      <c r="AAM93" s="20"/>
      <c r="AAN93" s="20"/>
      <c r="AAO93" s="20"/>
      <c r="AAP93" s="20"/>
      <c r="AAQ93" s="20"/>
      <c r="AAR93" s="20"/>
      <c r="AAS93" s="20"/>
      <c r="AAT93" s="20"/>
      <c r="AAU93" s="20"/>
      <c r="AAV93" s="20"/>
      <c r="AAW93" s="20"/>
      <c r="AAX93" s="20"/>
      <c r="AAY93" s="20"/>
      <c r="AAZ93" s="20"/>
      <c r="ABA93" s="20"/>
      <c r="ABB93" s="20"/>
      <c r="ABC93" s="20"/>
      <c r="ABD93" s="20"/>
      <c r="ABE93" s="20"/>
      <c r="ABF93" s="20"/>
      <c r="ABG93" s="20"/>
      <c r="ABH93" s="20"/>
      <c r="ABI93" s="20"/>
      <c r="ABJ93" s="20"/>
      <c r="ABK93" s="20"/>
      <c r="ABL93" s="20"/>
      <c r="ABM93" s="20"/>
      <c r="ABN93" s="20"/>
      <c r="ABO93" s="20"/>
      <c r="ABP93" s="20"/>
      <c r="ABQ93" s="20"/>
      <c r="ABR93" s="20"/>
      <c r="ABS93" s="20"/>
      <c r="ABT93" s="20"/>
      <c r="ABU93" s="20"/>
      <c r="ABV93" s="20"/>
      <c r="ABW93" s="20"/>
      <c r="ABX93" s="20"/>
      <c r="ABY93" s="20"/>
      <c r="ABZ93" s="20"/>
      <c r="ACA93" s="20"/>
      <c r="ACB93" s="20"/>
      <c r="ACC93" s="20"/>
      <c r="ACD93" s="20"/>
      <c r="ACE93" s="20"/>
      <c r="ACF93" s="20"/>
      <c r="ACG93" s="20"/>
      <c r="ACH93" s="20"/>
      <c r="ACI93" s="20"/>
      <c r="ACJ93" s="20"/>
      <c r="ACK93" s="20"/>
      <c r="ACL93" s="20"/>
      <c r="ACM93" s="20"/>
      <c r="ACN93" s="20"/>
      <c r="ACO93" s="20"/>
      <c r="ACP93" s="20"/>
      <c r="ACQ93" s="20"/>
    </row>
    <row r="94" spans="1:771" s="62" customFormat="1" ht="72" customHeight="1">
      <c r="A94" s="20"/>
      <c r="B94" s="61" t="s">
        <v>393</v>
      </c>
      <c r="D94" s="61" t="s">
        <v>394</v>
      </c>
      <c r="F94" s="63" t="s">
        <v>394</v>
      </c>
      <c r="H94" s="61" t="s">
        <v>357</v>
      </c>
      <c r="J94" s="61" t="s">
        <v>365</v>
      </c>
      <c r="L94" s="61" t="s">
        <v>74</v>
      </c>
      <c r="N94" s="61" t="s">
        <v>96</v>
      </c>
      <c r="P94" s="61" t="s">
        <v>395</v>
      </c>
      <c r="R94" s="63" t="s">
        <v>77</v>
      </c>
      <c r="T94" s="65" t="s">
        <v>396</v>
      </c>
      <c r="U94" s="66"/>
      <c r="V94" s="67" t="s">
        <v>79</v>
      </c>
      <c r="W94" s="68"/>
      <c r="X94" s="67" t="s">
        <v>80</v>
      </c>
      <c r="Y94" s="68"/>
      <c r="Z94" s="67" t="s">
        <v>80</v>
      </c>
      <c r="AA94" s="68"/>
      <c r="AB94" s="67" t="s">
        <v>80</v>
      </c>
      <c r="AD94" s="63" t="s">
        <v>397</v>
      </c>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c r="IW94" s="20"/>
      <c r="IX94" s="20"/>
      <c r="IY94" s="20"/>
      <c r="IZ94" s="20"/>
      <c r="JA94" s="20"/>
      <c r="JB94" s="20"/>
      <c r="JC94" s="20"/>
      <c r="JD94" s="20"/>
      <c r="JE94" s="20"/>
      <c r="JF94" s="20"/>
      <c r="JG94" s="20"/>
      <c r="JH94" s="20"/>
      <c r="JI94" s="20"/>
      <c r="JJ94" s="20"/>
      <c r="JK94" s="20"/>
      <c r="JL94" s="20"/>
      <c r="JM94" s="20"/>
      <c r="JN94" s="20"/>
      <c r="JO94" s="20"/>
      <c r="JP94" s="20"/>
      <c r="JQ94" s="20"/>
      <c r="JR94" s="20"/>
      <c r="JS94" s="20"/>
      <c r="JT94" s="20"/>
      <c r="JU94" s="20"/>
      <c r="JV94" s="20"/>
      <c r="JW94" s="20"/>
      <c r="JX94" s="20"/>
      <c r="JY94" s="20"/>
      <c r="JZ94" s="20"/>
      <c r="KA94" s="20"/>
      <c r="KB94" s="20"/>
      <c r="KC94" s="20"/>
      <c r="KD94" s="20"/>
      <c r="KE94" s="20"/>
      <c r="KF94" s="20"/>
      <c r="KG94" s="20"/>
      <c r="KH94" s="20"/>
      <c r="KI94" s="20"/>
      <c r="KJ94" s="20"/>
      <c r="KK94" s="20"/>
      <c r="KL94" s="20"/>
      <c r="KM94" s="20"/>
      <c r="KN94" s="20"/>
      <c r="KO94" s="20"/>
      <c r="KP94" s="20"/>
      <c r="KQ94" s="20"/>
      <c r="KR94" s="20"/>
      <c r="KS94" s="20"/>
      <c r="KT94" s="20"/>
      <c r="KU94" s="20"/>
      <c r="KV94" s="20"/>
      <c r="KW94" s="20"/>
      <c r="KX94" s="20"/>
      <c r="KY94" s="20"/>
      <c r="KZ94" s="20"/>
      <c r="LA94" s="20"/>
      <c r="LB94" s="20"/>
      <c r="LC94" s="20"/>
      <c r="LD94" s="20"/>
      <c r="LE94" s="20"/>
      <c r="LF94" s="20"/>
      <c r="LG94" s="20"/>
      <c r="LH94" s="20"/>
      <c r="LI94" s="20"/>
      <c r="LJ94" s="20"/>
      <c r="LK94" s="20"/>
      <c r="LL94" s="20"/>
      <c r="LM94" s="20"/>
      <c r="LN94" s="20"/>
      <c r="LO94" s="20"/>
      <c r="LP94" s="20"/>
      <c r="LQ94" s="20"/>
      <c r="LR94" s="20"/>
      <c r="LS94" s="20"/>
      <c r="LT94" s="20"/>
      <c r="LU94" s="20"/>
      <c r="LV94" s="20"/>
      <c r="LW94" s="20"/>
      <c r="LX94" s="20"/>
      <c r="LY94" s="20"/>
      <c r="LZ94" s="20"/>
      <c r="MA94" s="20"/>
      <c r="MB94" s="20"/>
      <c r="MC94" s="20"/>
      <c r="MD94" s="20"/>
      <c r="ME94" s="20"/>
      <c r="MF94" s="20"/>
      <c r="MG94" s="20"/>
      <c r="MH94" s="20"/>
      <c r="MI94" s="20"/>
      <c r="MJ94" s="20"/>
      <c r="MK94" s="20"/>
      <c r="ML94" s="20"/>
      <c r="MM94" s="20"/>
      <c r="MN94" s="20"/>
      <c r="MO94" s="20"/>
      <c r="MP94" s="20"/>
      <c r="MQ94" s="20"/>
      <c r="MR94" s="20"/>
      <c r="MS94" s="20"/>
      <c r="MT94" s="20"/>
      <c r="MU94" s="20"/>
      <c r="MV94" s="20"/>
      <c r="MW94" s="20"/>
      <c r="MX94" s="20"/>
      <c r="MY94" s="20"/>
      <c r="MZ94" s="20"/>
      <c r="NA94" s="20"/>
      <c r="NB94" s="20"/>
      <c r="NC94" s="20"/>
      <c r="ND94" s="20"/>
      <c r="NE94" s="20"/>
      <c r="NF94" s="20"/>
      <c r="NG94" s="20"/>
      <c r="NH94" s="20"/>
      <c r="NI94" s="20"/>
      <c r="NJ94" s="20"/>
      <c r="NK94" s="20"/>
      <c r="NL94" s="20"/>
      <c r="NM94" s="20"/>
      <c r="NN94" s="20"/>
      <c r="NO94" s="20"/>
      <c r="NP94" s="20"/>
      <c r="NQ94" s="20"/>
      <c r="NR94" s="20"/>
      <c r="NS94" s="20"/>
      <c r="NT94" s="20"/>
      <c r="NU94" s="20"/>
      <c r="NV94" s="20"/>
      <c r="NW94" s="20"/>
      <c r="NX94" s="20"/>
      <c r="NY94" s="20"/>
      <c r="NZ94" s="20"/>
      <c r="OA94" s="20"/>
      <c r="OB94" s="20"/>
      <c r="OC94" s="20"/>
      <c r="OD94" s="20"/>
      <c r="OE94" s="20"/>
      <c r="OF94" s="20"/>
      <c r="OG94" s="20"/>
      <c r="OH94" s="20"/>
      <c r="OI94" s="20"/>
      <c r="OJ94" s="20"/>
      <c r="OK94" s="20"/>
      <c r="OL94" s="20"/>
      <c r="OM94" s="20"/>
      <c r="ON94" s="20"/>
      <c r="OO94" s="20"/>
      <c r="OP94" s="20"/>
      <c r="OQ94" s="20"/>
      <c r="OR94" s="20"/>
      <c r="OS94" s="20"/>
      <c r="OT94" s="20"/>
      <c r="OU94" s="20"/>
      <c r="OV94" s="20"/>
      <c r="OW94" s="20"/>
      <c r="OX94" s="20"/>
      <c r="OY94" s="20"/>
      <c r="OZ94" s="20"/>
      <c r="PA94" s="20"/>
      <c r="PB94" s="20"/>
      <c r="PC94" s="20"/>
      <c r="PD94" s="20"/>
      <c r="PE94" s="20"/>
      <c r="PF94" s="20"/>
      <c r="PG94" s="20"/>
      <c r="PH94" s="20"/>
      <c r="PI94" s="20"/>
      <c r="PJ94" s="20"/>
      <c r="PK94" s="20"/>
      <c r="PL94" s="20"/>
      <c r="PM94" s="20"/>
      <c r="PN94" s="20"/>
      <c r="PO94" s="20"/>
      <c r="PP94" s="20"/>
      <c r="PQ94" s="20"/>
      <c r="PR94" s="20"/>
      <c r="PS94" s="20"/>
      <c r="PT94" s="20"/>
      <c r="PU94" s="20"/>
      <c r="PV94" s="20"/>
      <c r="PW94" s="20"/>
      <c r="PX94" s="20"/>
      <c r="PY94" s="20"/>
      <c r="PZ94" s="20"/>
      <c r="QA94" s="20"/>
      <c r="QB94" s="20"/>
      <c r="QC94" s="20"/>
      <c r="QD94" s="20"/>
      <c r="QE94" s="20"/>
      <c r="QF94" s="20"/>
      <c r="QG94" s="20"/>
      <c r="QH94" s="20"/>
      <c r="QI94" s="20"/>
      <c r="QJ94" s="20"/>
      <c r="QK94" s="20"/>
      <c r="QL94" s="20"/>
      <c r="QM94" s="20"/>
      <c r="QN94" s="20"/>
      <c r="QO94" s="20"/>
      <c r="QP94" s="20"/>
      <c r="QQ94" s="20"/>
      <c r="QR94" s="20"/>
      <c r="QS94" s="20"/>
      <c r="QT94" s="20"/>
      <c r="QU94" s="20"/>
      <c r="QV94" s="20"/>
      <c r="QW94" s="20"/>
      <c r="QX94" s="20"/>
      <c r="QY94" s="20"/>
      <c r="QZ94" s="20"/>
      <c r="RA94" s="20"/>
      <c r="RB94" s="20"/>
      <c r="RC94" s="20"/>
      <c r="RD94" s="20"/>
      <c r="RE94" s="20"/>
      <c r="RF94" s="20"/>
      <c r="RG94" s="20"/>
      <c r="RH94" s="20"/>
      <c r="RI94" s="20"/>
      <c r="RJ94" s="20"/>
      <c r="RK94" s="20"/>
      <c r="RL94" s="20"/>
      <c r="RM94" s="20"/>
      <c r="RN94" s="20"/>
      <c r="RO94" s="20"/>
      <c r="RP94" s="20"/>
      <c r="RQ94" s="20"/>
      <c r="RR94" s="20"/>
      <c r="RS94" s="20"/>
      <c r="RT94" s="20"/>
      <c r="RU94" s="20"/>
      <c r="RV94" s="20"/>
      <c r="RW94" s="20"/>
      <c r="RX94" s="20"/>
      <c r="RY94" s="20"/>
      <c r="RZ94" s="20"/>
      <c r="SA94" s="20"/>
      <c r="SB94" s="20"/>
      <c r="SC94" s="20"/>
      <c r="SD94" s="20"/>
      <c r="SE94" s="20"/>
      <c r="SF94" s="20"/>
      <c r="SG94" s="20"/>
      <c r="SH94" s="20"/>
      <c r="SI94" s="20"/>
      <c r="SJ94" s="20"/>
      <c r="SK94" s="20"/>
      <c r="SL94" s="20"/>
      <c r="SM94" s="20"/>
      <c r="SN94" s="20"/>
      <c r="SO94" s="20"/>
      <c r="SP94" s="20"/>
      <c r="SQ94" s="20"/>
      <c r="SR94" s="20"/>
      <c r="SS94" s="20"/>
      <c r="ST94" s="20"/>
      <c r="SU94" s="20"/>
      <c r="SV94" s="20"/>
      <c r="SW94" s="20"/>
      <c r="SX94" s="20"/>
      <c r="SY94" s="20"/>
      <c r="SZ94" s="20"/>
      <c r="TA94" s="20"/>
      <c r="TB94" s="20"/>
      <c r="TC94" s="20"/>
      <c r="TD94" s="20"/>
      <c r="TE94" s="20"/>
      <c r="TF94" s="20"/>
      <c r="TG94" s="20"/>
      <c r="TH94" s="20"/>
      <c r="TI94" s="20"/>
      <c r="TJ94" s="20"/>
      <c r="TK94" s="20"/>
      <c r="TL94" s="20"/>
      <c r="TM94" s="20"/>
      <c r="TN94" s="20"/>
      <c r="TO94" s="20"/>
      <c r="TP94" s="20"/>
      <c r="TQ94" s="20"/>
      <c r="TR94" s="20"/>
      <c r="TS94" s="20"/>
      <c r="TT94" s="20"/>
      <c r="TU94" s="20"/>
      <c r="TV94" s="20"/>
      <c r="TW94" s="20"/>
      <c r="TX94" s="20"/>
      <c r="TY94" s="20"/>
      <c r="TZ94" s="20"/>
      <c r="UA94" s="20"/>
      <c r="UB94" s="20"/>
      <c r="UC94" s="20"/>
      <c r="UD94" s="20"/>
      <c r="UE94" s="20"/>
      <c r="UF94" s="20"/>
      <c r="UG94" s="20"/>
      <c r="UH94" s="20"/>
      <c r="UI94" s="20"/>
      <c r="UJ94" s="20"/>
      <c r="UK94" s="20"/>
      <c r="UL94" s="20"/>
      <c r="UM94" s="20"/>
      <c r="UN94" s="20"/>
      <c r="UO94" s="20"/>
      <c r="UP94" s="20"/>
      <c r="UQ94" s="20"/>
      <c r="UR94" s="20"/>
      <c r="US94" s="20"/>
      <c r="UT94" s="20"/>
      <c r="UU94" s="20"/>
      <c r="UV94" s="20"/>
      <c r="UW94" s="20"/>
      <c r="UX94" s="20"/>
      <c r="UY94" s="20"/>
      <c r="UZ94" s="20"/>
      <c r="VA94" s="20"/>
      <c r="VB94" s="20"/>
      <c r="VC94" s="20"/>
      <c r="VD94" s="20"/>
      <c r="VE94" s="20"/>
      <c r="VF94" s="20"/>
      <c r="VG94" s="20"/>
      <c r="VH94" s="20"/>
      <c r="VI94" s="20"/>
      <c r="VJ94" s="20"/>
      <c r="VK94" s="20"/>
      <c r="VL94" s="20"/>
      <c r="VM94" s="20"/>
      <c r="VN94" s="20"/>
      <c r="VO94" s="20"/>
      <c r="VP94" s="20"/>
      <c r="VQ94" s="20"/>
      <c r="VR94" s="20"/>
      <c r="VS94" s="20"/>
      <c r="VT94" s="20"/>
      <c r="VU94" s="20"/>
      <c r="VV94" s="20"/>
      <c r="VW94" s="20"/>
      <c r="VX94" s="20"/>
      <c r="VY94" s="20"/>
      <c r="VZ94" s="20"/>
      <c r="WA94" s="20"/>
      <c r="WB94" s="20"/>
      <c r="WC94" s="20"/>
      <c r="WD94" s="20"/>
      <c r="WE94" s="20"/>
      <c r="WF94" s="20"/>
      <c r="WG94" s="20"/>
      <c r="WH94" s="20"/>
      <c r="WI94" s="20"/>
      <c r="WJ94" s="20"/>
      <c r="WK94" s="20"/>
      <c r="WL94" s="20"/>
      <c r="WM94" s="20"/>
      <c r="WN94" s="20"/>
      <c r="WO94" s="20"/>
      <c r="WP94" s="20"/>
      <c r="WQ94" s="20"/>
      <c r="WR94" s="20"/>
      <c r="WS94" s="20"/>
      <c r="WT94" s="20"/>
      <c r="WU94" s="20"/>
      <c r="WV94" s="20"/>
      <c r="WW94" s="20"/>
      <c r="WX94" s="20"/>
      <c r="WY94" s="20"/>
      <c r="WZ94" s="20"/>
      <c r="XA94" s="20"/>
      <c r="XB94" s="20"/>
      <c r="XC94" s="20"/>
      <c r="XD94" s="20"/>
      <c r="XE94" s="20"/>
      <c r="XF94" s="20"/>
      <c r="XG94" s="20"/>
      <c r="XH94" s="20"/>
      <c r="XI94" s="20"/>
      <c r="XJ94" s="20"/>
      <c r="XK94" s="20"/>
      <c r="XL94" s="20"/>
      <c r="XM94" s="20"/>
      <c r="XN94" s="20"/>
      <c r="XO94" s="20"/>
      <c r="XP94" s="20"/>
      <c r="XQ94" s="20"/>
      <c r="XR94" s="20"/>
      <c r="XS94" s="20"/>
      <c r="XT94" s="20"/>
      <c r="XU94" s="20"/>
      <c r="XV94" s="20"/>
      <c r="XW94" s="20"/>
      <c r="XX94" s="20"/>
      <c r="XY94" s="20"/>
      <c r="XZ94" s="20"/>
      <c r="YA94" s="20"/>
      <c r="YB94" s="20"/>
      <c r="YC94" s="20"/>
      <c r="YD94" s="20"/>
      <c r="YE94" s="20"/>
      <c r="YF94" s="20"/>
      <c r="YG94" s="20"/>
      <c r="YH94" s="20"/>
      <c r="YI94" s="20"/>
      <c r="YJ94" s="20"/>
      <c r="YK94" s="20"/>
      <c r="YL94" s="20"/>
      <c r="YM94" s="20"/>
      <c r="YN94" s="20"/>
      <c r="YO94" s="20"/>
      <c r="YP94" s="20"/>
      <c r="YQ94" s="20"/>
      <c r="YR94" s="20"/>
      <c r="YS94" s="20"/>
      <c r="YT94" s="20"/>
      <c r="YU94" s="20"/>
      <c r="YV94" s="20"/>
      <c r="YW94" s="20"/>
      <c r="YX94" s="20"/>
      <c r="YY94" s="20"/>
      <c r="YZ94" s="20"/>
      <c r="ZA94" s="20"/>
      <c r="ZB94" s="20"/>
      <c r="ZC94" s="20"/>
      <c r="ZD94" s="20"/>
      <c r="ZE94" s="20"/>
      <c r="ZF94" s="20"/>
      <c r="ZG94" s="20"/>
      <c r="ZH94" s="20"/>
      <c r="ZI94" s="20"/>
      <c r="ZJ94" s="20"/>
      <c r="ZK94" s="20"/>
      <c r="ZL94" s="20"/>
      <c r="ZM94" s="20"/>
      <c r="ZN94" s="20"/>
      <c r="ZO94" s="20"/>
      <c r="ZP94" s="20"/>
      <c r="ZQ94" s="20"/>
      <c r="ZR94" s="20"/>
      <c r="ZS94" s="20"/>
      <c r="ZT94" s="20"/>
      <c r="ZU94" s="20"/>
      <c r="ZV94" s="20"/>
      <c r="ZW94" s="20"/>
      <c r="ZX94" s="20"/>
      <c r="ZY94" s="20"/>
      <c r="ZZ94" s="20"/>
      <c r="AAA94" s="20"/>
      <c r="AAB94" s="20"/>
      <c r="AAC94" s="20"/>
      <c r="AAD94" s="20"/>
      <c r="AAE94" s="20"/>
      <c r="AAF94" s="20"/>
      <c r="AAG94" s="20"/>
      <c r="AAH94" s="20"/>
      <c r="AAI94" s="20"/>
      <c r="AAJ94" s="20"/>
      <c r="AAK94" s="20"/>
      <c r="AAL94" s="20"/>
      <c r="AAM94" s="20"/>
      <c r="AAN94" s="20"/>
      <c r="AAO94" s="20"/>
      <c r="AAP94" s="20"/>
      <c r="AAQ94" s="20"/>
      <c r="AAR94" s="20"/>
      <c r="AAS94" s="20"/>
      <c r="AAT94" s="20"/>
      <c r="AAU94" s="20"/>
      <c r="AAV94" s="20"/>
      <c r="AAW94" s="20"/>
      <c r="AAX94" s="20"/>
      <c r="AAY94" s="20"/>
      <c r="AAZ94" s="20"/>
      <c r="ABA94" s="20"/>
      <c r="ABB94" s="20"/>
      <c r="ABC94" s="20"/>
      <c r="ABD94" s="20"/>
      <c r="ABE94" s="20"/>
      <c r="ABF94" s="20"/>
      <c r="ABG94" s="20"/>
      <c r="ABH94" s="20"/>
      <c r="ABI94" s="20"/>
      <c r="ABJ94" s="20"/>
      <c r="ABK94" s="20"/>
      <c r="ABL94" s="20"/>
      <c r="ABM94" s="20"/>
      <c r="ABN94" s="20"/>
      <c r="ABO94" s="20"/>
      <c r="ABP94" s="20"/>
      <c r="ABQ94" s="20"/>
      <c r="ABR94" s="20"/>
      <c r="ABS94" s="20"/>
      <c r="ABT94" s="20"/>
      <c r="ABU94" s="20"/>
      <c r="ABV94" s="20"/>
      <c r="ABW94" s="20"/>
      <c r="ABX94" s="20"/>
      <c r="ABY94" s="20"/>
      <c r="ABZ94" s="20"/>
      <c r="ACA94" s="20"/>
      <c r="ACB94" s="20"/>
      <c r="ACC94" s="20"/>
      <c r="ACD94" s="20"/>
      <c r="ACE94" s="20"/>
      <c r="ACF94" s="20"/>
      <c r="ACG94" s="20"/>
      <c r="ACH94" s="20"/>
      <c r="ACI94" s="20"/>
      <c r="ACJ94" s="20"/>
      <c r="ACK94" s="20"/>
      <c r="ACL94" s="20"/>
      <c r="ACM94" s="20"/>
      <c r="ACN94" s="20"/>
      <c r="ACO94" s="20"/>
      <c r="ACP94" s="20"/>
      <c r="ACQ94" s="20"/>
    </row>
    <row r="95" spans="1:771" s="62" customFormat="1" ht="84.95">
      <c r="A95" s="20"/>
      <c r="B95" s="61" t="s">
        <v>398</v>
      </c>
      <c r="D95" s="61" t="s">
        <v>362</v>
      </c>
      <c r="F95" s="63" t="s">
        <v>363</v>
      </c>
      <c r="H95" s="61" t="s">
        <v>357</v>
      </c>
      <c r="J95" s="61" t="s">
        <v>365</v>
      </c>
      <c r="L95" s="61" t="s">
        <v>74</v>
      </c>
      <c r="N95" s="61" t="s">
        <v>96</v>
      </c>
      <c r="P95" s="61" t="s">
        <v>399</v>
      </c>
      <c r="R95" s="61" t="s">
        <v>77</v>
      </c>
      <c r="T95" s="65" t="s">
        <v>367</v>
      </c>
      <c r="U95" s="66"/>
      <c r="V95" s="67" t="s">
        <v>79</v>
      </c>
      <c r="W95" s="68"/>
      <c r="X95" s="67" t="s">
        <v>80</v>
      </c>
      <c r="Y95" s="68"/>
      <c r="Z95" s="67" t="s">
        <v>80</v>
      </c>
      <c r="AA95" s="68"/>
      <c r="AB95" s="67" t="s">
        <v>80</v>
      </c>
      <c r="AD95" s="63" t="s">
        <v>400</v>
      </c>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0"/>
      <c r="IY95" s="20"/>
      <c r="IZ95" s="20"/>
      <c r="JA95" s="20"/>
      <c r="JB95" s="20"/>
      <c r="JC95" s="20"/>
      <c r="JD95" s="20"/>
      <c r="JE95" s="20"/>
      <c r="JF95" s="20"/>
      <c r="JG95" s="20"/>
      <c r="JH95" s="20"/>
      <c r="JI95" s="20"/>
      <c r="JJ95" s="20"/>
      <c r="JK95" s="20"/>
      <c r="JL95" s="20"/>
      <c r="JM95" s="20"/>
      <c r="JN95" s="20"/>
      <c r="JO95" s="20"/>
      <c r="JP95" s="20"/>
      <c r="JQ95" s="20"/>
      <c r="JR95" s="20"/>
      <c r="JS95" s="20"/>
      <c r="JT95" s="20"/>
      <c r="JU95" s="20"/>
      <c r="JV95" s="20"/>
      <c r="JW95" s="20"/>
      <c r="JX95" s="20"/>
      <c r="JY95" s="20"/>
      <c r="JZ95" s="20"/>
      <c r="KA95" s="20"/>
      <c r="KB95" s="20"/>
      <c r="KC95" s="20"/>
      <c r="KD95" s="20"/>
      <c r="KE95" s="20"/>
      <c r="KF95" s="20"/>
      <c r="KG95" s="20"/>
      <c r="KH95" s="20"/>
      <c r="KI95" s="20"/>
      <c r="KJ95" s="20"/>
      <c r="KK95" s="20"/>
      <c r="KL95" s="20"/>
      <c r="KM95" s="20"/>
      <c r="KN95" s="20"/>
      <c r="KO95" s="20"/>
      <c r="KP95" s="20"/>
      <c r="KQ95" s="20"/>
      <c r="KR95" s="20"/>
      <c r="KS95" s="20"/>
      <c r="KT95" s="20"/>
      <c r="KU95" s="20"/>
      <c r="KV95" s="20"/>
      <c r="KW95" s="20"/>
      <c r="KX95" s="20"/>
      <c r="KY95" s="20"/>
      <c r="KZ95" s="20"/>
      <c r="LA95" s="20"/>
      <c r="LB95" s="20"/>
      <c r="LC95" s="20"/>
      <c r="LD95" s="20"/>
      <c r="LE95" s="20"/>
      <c r="LF95" s="20"/>
      <c r="LG95" s="20"/>
      <c r="LH95" s="20"/>
      <c r="LI95" s="20"/>
      <c r="LJ95" s="20"/>
      <c r="LK95" s="20"/>
      <c r="LL95" s="20"/>
      <c r="LM95" s="20"/>
      <c r="LN95" s="20"/>
      <c r="LO95" s="20"/>
      <c r="LP95" s="20"/>
      <c r="LQ95" s="20"/>
      <c r="LR95" s="20"/>
      <c r="LS95" s="20"/>
      <c r="LT95" s="20"/>
      <c r="LU95" s="20"/>
      <c r="LV95" s="20"/>
      <c r="LW95" s="20"/>
      <c r="LX95" s="20"/>
      <c r="LY95" s="20"/>
      <c r="LZ95" s="20"/>
      <c r="MA95" s="20"/>
      <c r="MB95" s="20"/>
      <c r="MC95" s="20"/>
      <c r="MD95" s="20"/>
      <c r="ME95" s="20"/>
      <c r="MF95" s="20"/>
      <c r="MG95" s="20"/>
      <c r="MH95" s="20"/>
      <c r="MI95" s="20"/>
      <c r="MJ95" s="20"/>
      <c r="MK95" s="20"/>
      <c r="ML95" s="20"/>
      <c r="MM95" s="20"/>
      <c r="MN95" s="20"/>
      <c r="MO95" s="20"/>
      <c r="MP95" s="20"/>
      <c r="MQ95" s="20"/>
      <c r="MR95" s="20"/>
      <c r="MS95" s="20"/>
      <c r="MT95" s="20"/>
      <c r="MU95" s="20"/>
      <c r="MV95" s="20"/>
      <c r="MW95" s="20"/>
      <c r="MX95" s="20"/>
      <c r="MY95" s="20"/>
      <c r="MZ95" s="20"/>
      <c r="NA95" s="20"/>
      <c r="NB95" s="20"/>
      <c r="NC95" s="20"/>
      <c r="ND95" s="20"/>
      <c r="NE95" s="20"/>
      <c r="NF95" s="20"/>
      <c r="NG95" s="20"/>
      <c r="NH95" s="20"/>
      <c r="NI95" s="20"/>
      <c r="NJ95" s="20"/>
      <c r="NK95" s="20"/>
      <c r="NL95" s="20"/>
      <c r="NM95" s="20"/>
      <c r="NN95" s="20"/>
      <c r="NO95" s="20"/>
      <c r="NP95" s="20"/>
      <c r="NQ95" s="20"/>
      <c r="NR95" s="20"/>
      <c r="NS95" s="20"/>
      <c r="NT95" s="20"/>
      <c r="NU95" s="20"/>
      <c r="NV95" s="20"/>
      <c r="NW95" s="20"/>
      <c r="NX95" s="20"/>
      <c r="NY95" s="20"/>
      <c r="NZ95" s="20"/>
      <c r="OA95" s="20"/>
      <c r="OB95" s="20"/>
      <c r="OC95" s="20"/>
      <c r="OD95" s="20"/>
      <c r="OE95" s="20"/>
      <c r="OF95" s="20"/>
      <c r="OG95" s="20"/>
      <c r="OH95" s="20"/>
      <c r="OI95" s="20"/>
      <c r="OJ95" s="20"/>
      <c r="OK95" s="20"/>
      <c r="OL95" s="20"/>
      <c r="OM95" s="20"/>
      <c r="ON95" s="20"/>
      <c r="OO95" s="20"/>
      <c r="OP95" s="20"/>
      <c r="OQ95" s="20"/>
      <c r="OR95" s="20"/>
      <c r="OS95" s="20"/>
      <c r="OT95" s="20"/>
      <c r="OU95" s="20"/>
      <c r="OV95" s="20"/>
      <c r="OW95" s="20"/>
      <c r="OX95" s="20"/>
      <c r="OY95" s="20"/>
      <c r="OZ95" s="20"/>
      <c r="PA95" s="20"/>
      <c r="PB95" s="20"/>
      <c r="PC95" s="20"/>
      <c r="PD95" s="20"/>
      <c r="PE95" s="20"/>
      <c r="PF95" s="20"/>
      <c r="PG95" s="20"/>
      <c r="PH95" s="20"/>
      <c r="PI95" s="20"/>
      <c r="PJ95" s="20"/>
      <c r="PK95" s="20"/>
      <c r="PL95" s="20"/>
      <c r="PM95" s="20"/>
      <c r="PN95" s="20"/>
      <c r="PO95" s="20"/>
      <c r="PP95" s="20"/>
      <c r="PQ95" s="20"/>
      <c r="PR95" s="20"/>
      <c r="PS95" s="20"/>
      <c r="PT95" s="20"/>
      <c r="PU95" s="20"/>
      <c r="PV95" s="20"/>
      <c r="PW95" s="20"/>
      <c r="PX95" s="20"/>
      <c r="PY95" s="20"/>
      <c r="PZ95" s="20"/>
      <c r="QA95" s="20"/>
      <c r="QB95" s="20"/>
      <c r="QC95" s="20"/>
      <c r="QD95" s="20"/>
      <c r="QE95" s="20"/>
      <c r="QF95" s="20"/>
      <c r="QG95" s="20"/>
      <c r="QH95" s="20"/>
      <c r="QI95" s="20"/>
      <c r="QJ95" s="20"/>
      <c r="QK95" s="20"/>
      <c r="QL95" s="20"/>
      <c r="QM95" s="20"/>
      <c r="QN95" s="20"/>
      <c r="QO95" s="20"/>
      <c r="QP95" s="20"/>
      <c r="QQ95" s="20"/>
      <c r="QR95" s="20"/>
      <c r="QS95" s="20"/>
      <c r="QT95" s="20"/>
      <c r="QU95" s="20"/>
      <c r="QV95" s="20"/>
      <c r="QW95" s="20"/>
      <c r="QX95" s="20"/>
      <c r="QY95" s="20"/>
      <c r="QZ95" s="20"/>
      <c r="RA95" s="20"/>
      <c r="RB95" s="20"/>
      <c r="RC95" s="20"/>
      <c r="RD95" s="20"/>
      <c r="RE95" s="20"/>
      <c r="RF95" s="20"/>
      <c r="RG95" s="20"/>
      <c r="RH95" s="20"/>
      <c r="RI95" s="20"/>
      <c r="RJ95" s="20"/>
      <c r="RK95" s="20"/>
      <c r="RL95" s="20"/>
      <c r="RM95" s="20"/>
      <c r="RN95" s="20"/>
      <c r="RO95" s="20"/>
      <c r="RP95" s="20"/>
      <c r="RQ95" s="20"/>
      <c r="RR95" s="20"/>
      <c r="RS95" s="20"/>
      <c r="RT95" s="20"/>
      <c r="RU95" s="20"/>
      <c r="RV95" s="20"/>
      <c r="RW95" s="20"/>
      <c r="RX95" s="20"/>
      <c r="RY95" s="20"/>
      <c r="RZ95" s="20"/>
      <c r="SA95" s="20"/>
      <c r="SB95" s="20"/>
      <c r="SC95" s="20"/>
      <c r="SD95" s="20"/>
      <c r="SE95" s="20"/>
      <c r="SF95" s="20"/>
      <c r="SG95" s="20"/>
      <c r="SH95" s="20"/>
      <c r="SI95" s="20"/>
      <c r="SJ95" s="20"/>
      <c r="SK95" s="20"/>
      <c r="SL95" s="20"/>
      <c r="SM95" s="20"/>
      <c r="SN95" s="20"/>
      <c r="SO95" s="20"/>
      <c r="SP95" s="20"/>
      <c r="SQ95" s="20"/>
      <c r="SR95" s="20"/>
      <c r="SS95" s="20"/>
      <c r="ST95" s="20"/>
      <c r="SU95" s="20"/>
      <c r="SV95" s="20"/>
      <c r="SW95" s="20"/>
      <c r="SX95" s="20"/>
      <c r="SY95" s="20"/>
      <c r="SZ95" s="20"/>
      <c r="TA95" s="20"/>
      <c r="TB95" s="20"/>
      <c r="TC95" s="20"/>
      <c r="TD95" s="20"/>
      <c r="TE95" s="20"/>
      <c r="TF95" s="20"/>
      <c r="TG95" s="20"/>
      <c r="TH95" s="20"/>
      <c r="TI95" s="20"/>
      <c r="TJ95" s="20"/>
      <c r="TK95" s="20"/>
      <c r="TL95" s="20"/>
      <c r="TM95" s="20"/>
      <c r="TN95" s="20"/>
      <c r="TO95" s="20"/>
      <c r="TP95" s="20"/>
      <c r="TQ95" s="20"/>
      <c r="TR95" s="20"/>
      <c r="TS95" s="20"/>
      <c r="TT95" s="20"/>
      <c r="TU95" s="20"/>
      <c r="TV95" s="20"/>
      <c r="TW95" s="20"/>
      <c r="TX95" s="20"/>
      <c r="TY95" s="20"/>
      <c r="TZ95" s="20"/>
      <c r="UA95" s="20"/>
      <c r="UB95" s="20"/>
      <c r="UC95" s="20"/>
      <c r="UD95" s="20"/>
      <c r="UE95" s="20"/>
      <c r="UF95" s="20"/>
      <c r="UG95" s="20"/>
      <c r="UH95" s="20"/>
      <c r="UI95" s="20"/>
      <c r="UJ95" s="20"/>
      <c r="UK95" s="20"/>
      <c r="UL95" s="20"/>
      <c r="UM95" s="20"/>
      <c r="UN95" s="20"/>
      <c r="UO95" s="20"/>
      <c r="UP95" s="20"/>
      <c r="UQ95" s="20"/>
      <c r="UR95" s="20"/>
      <c r="US95" s="20"/>
      <c r="UT95" s="20"/>
      <c r="UU95" s="20"/>
      <c r="UV95" s="20"/>
      <c r="UW95" s="20"/>
      <c r="UX95" s="20"/>
      <c r="UY95" s="20"/>
      <c r="UZ95" s="20"/>
      <c r="VA95" s="20"/>
      <c r="VB95" s="20"/>
      <c r="VC95" s="20"/>
      <c r="VD95" s="20"/>
      <c r="VE95" s="20"/>
      <c r="VF95" s="20"/>
      <c r="VG95" s="20"/>
      <c r="VH95" s="20"/>
      <c r="VI95" s="20"/>
      <c r="VJ95" s="20"/>
      <c r="VK95" s="20"/>
      <c r="VL95" s="20"/>
      <c r="VM95" s="20"/>
      <c r="VN95" s="20"/>
      <c r="VO95" s="20"/>
      <c r="VP95" s="20"/>
      <c r="VQ95" s="20"/>
      <c r="VR95" s="20"/>
      <c r="VS95" s="20"/>
      <c r="VT95" s="20"/>
      <c r="VU95" s="20"/>
      <c r="VV95" s="20"/>
      <c r="VW95" s="20"/>
      <c r="VX95" s="20"/>
      <c r="VY95" s="20"/>
      <c r="VZ95" s="20"/>
      <c r="WA95" s="20"/>
      <c r="WB95" s="20"/>
      <c r="WC95" s="20"/>
      <c r="WD95" s="20"/>
      <c r="WE95" s="20"/>
      <c r="WF95" s="20"/>
      <c r="WG95" s="20"/>
      <c r="WH95" s="20"/>
      <c r="WI95" s="20"/>
      <c r="WJ95" s="20"/>
      <c r="WK95" s="20"/>
      <c r="WL95" s="20"/>
      <c r="WM95" s="20"/>
      <c r="WN95" s="20"/>
      <c r="WO95" s="20"/>
      <c r="WP95" s="20"/>
      <c r="WQ95" s="20"/>
      <c r="WR95" s="20"/>
      <c r="WS95" s="20"/>
      <c r="WT95" s="20"/>
      <c r="WU95" s="20"/>
      <c r="WV95" s="20"/>
      <c r="WW95" s="20"/>
      <c r="WX95" s="20"/>
      <c r="WY95" s="20"/>
      <c r="WZ95" s="20"/>
      <c r="XA95" s="20"/>
      <c r="XB95" s="20"/>
      <c r="XC95" s="20"/>
      <c r="XD95" s="20"/>
      <c r="XE95" s="20"/>
      <c r="XF95" s="20"/>
      <c r="XG95" s="20"/>
      <c r="XH95" s="20"/>
      <c r="XI95" s="20"/>
      <c r="XJ95" s="20"/>
      <c r="XK95" s="20"/>
      <c r="XL95" s="20"/>
      <c r="XM95" s="20"/>
      <c r="XN95" s="20"/>
      <c r="XO95" s="20"/>
      <c r="XP95" s="20"/>
      <c r="XQ95" s="20"/>
      <c r="XR95" s="20"/>
      <c r="XS95" s="20"/>
      <c r="XT95" s="20"/>
      <c r="XU95" s="20"/>
      <c r="XV95" s="20"/>
      <c r="XW95" s="20"/>
      <c r="XX95" s="20"/>
      <c r="XY95" s="20"/>
      <c r="XZ95" s="20"/>
      <c r="YA95" s="20"/>
      <c r="YB95" s="20"/>
      <c r="YC95" s="20"/>
      <c r="YD95" s="20"/>
      <c r="YE95" s="20"/>
      <c r="YF95" s="20"/>
      <c r="YG95" s="20"/>
      <c r="YH95" s="20"/>
      <c r="YI95" s="20"/>
      <c r="YJ95" s="20"/>
      <c r="YK95" s="20"/>
      <c r="YL95" s="20"/>
      <c r="YM95" s="20"/>
      <c r="YN95" s="20"/>
      <c r="YO95" s="20"/>
      <c r="YP95" s="20"/>
      <c r="YQ95" s="20"/>
      <c r="YR95" s="20"/>
      <c r="YS95" s="20"/>
      <c r="YT95" s="20"/>
      <c r="YU95" s="20"/>
      <c r="YV95" s="20"/>
      <c r="YW95" s="20"/>
      <c r="YX95" s="20"/>
      <c r="YY95" s="20"/>
      <c r="YZ95" s="20"/>
      <c r="ZA95" s="20"/>
      <c r="ZB95" s="20"/>
      <c r="ZC95" s="20"/>
      <c r="ZD95" s="20"/>
      <c r="ZE95" s="20"/>
      <c r="ZF95" s="20"/>
      <c r="ZG95" s="20"/>
      <c r="ZH95" s="20"/>
      <c r="ZI95" s="20"/>
      <c r="ZJ95" s="20"/>
      <c r="ZK95" s="20"/>
      <c r="ZL95" s="20"/>
      <c r="ZM95" s="20"/>
      <c r="ZN95" s="20"/>
      <c r="ZO95" s="20"/>
      <c r="ZP95" s="20"/>
      <c r="ZQ95" s="20"/>
      <c r="ZR95" s="20"/>
      <c r="ZS95" s="20"/>
      <c r="ZT95" s="20"/>
      <c r="ZU95" s="20"/>
      <c r="ZV95" s="20"/>
      <c r="ZW95" s="20"/>
      <c r="ZX95" s="20"/>
      <c r="ZY95" s="20"/>
      <c r="ZZ95" s="20"/>
      <c r="AAA95" s="20"/>
      <c r="AAB95" s="20"/>
      <c r="AAC95" s="20"/>
      <c r="AAD95" s="20"/>
      <c r="AAE95" s="20"/>
      <c r="AAF95" s="20"/>
      <c r="AAG95" s="20"/>
      <c r="AAH95" s="20"/>
      <c r="AAI95" s="20"/>
      <c r="AAJ95" s="20"/>
      <c r="AAK95" s="20"/>
      <c r="AAL95" s="20"/>
      <c r="AAM95" s="20"/>
      <c r="AAN95" s="20"/>
      <c r="AAO95" s="20"/>
      <c r="AAP95" s="20"/>
      <c r="AAQ95" s="20"/>
      <c r="AAR95" s="20"/>
      <c r="AAS95" s="20"/>
      <c r="AAT95" s="20"/>
      <c r="AAU95" s="20"/>
      <c r="AAV95" s="20"/>
      <c r="AAW95" s="20"/>
      <c r="AAX95" s="20"/>
      <c r="AAY95" s="20"/>
      <c r="AAZ95" s="20"/>
      <c r="ABA95" s="20"/>
      <c r="ABB95" s="20"/>
      <c r="ABC95" s="20"/>
      <c r="ABD95" s="20"/>
      <c r="ABE95" s="20"/>
      <c r="ABF95" s="20"/>
      <c r="ABG95" s="20"/>
      <c r="ABH95" s="20"/>
      <c r="ABI95" s="20"/>
      <c r="ABJ95" s="20"/>
      <c r="ABK95" s="20"/>
      <c r="ABL95" s="20"/>
      <c r="ABM95" s="20"/>
      <c r="ABN95" s="20"/>
      <c r="ABO95" s="20"/>
      <c r="ABP95" s="20"/>
      <c r="ABQ95" s="20"/>
      <c r="ABR95" s="20"/>
      <c r="ABS95" s="20"/>
      <c r="ABT95" s="20"/>
      <c r="ABU95" s="20"/>
      <c r="ABV95" s="20"/>
      <c r="ABW95" s="20"/>
      <c r="ABX95" s="20"/>
      <c r="ABY95" s="20"/>
      <c r="ABZ95" s="20"/>
      <c r="ACA95" s="20"/>
      <c r="ACB95" s="20"/>
      <c r="ACC95" s="20"/>
      <c r="ACD95" s="20"/>
      <c r="ACE95" s="20"/>
      <c r="ACF95" s="20"/>
      <c r="ACG95" s="20"/>
      <c r="ACH95" s="20"/>
      <c r="ACI95" s="20"/>
      <c r="ACJ95" s="20"/>
      <c r="ACK95" s="20"/>
      <c r="ACL95" s="20"/>
      <c r="ACM95" s="20"/>
      <c r="ACN95" s="20"/>
      <c r="ACO95" s="20"/>
      <c r="ACP95" s="20"/>
      <c r="ACQ95" s="20"/>
    </row>
    <row r="96" spans="1:771" s="62" customFormat="1" ht="119.1">
      <c r="A96" s="20"/>
      <c r="B96" s="61" t="s">
        <v>401</v>
      </c>
      <c r="D96" s="86" t="s">
        <v>115</v>
      </c>
      <c r="F96" s="63" t="s">
        <v>402</v>
      </c>
      <c r="H96" s="61" t="s">
        <v>403</v>
      </c>
      <c r="J96" s="61" t="s">
        <v>404</v>
      </c>
      <c r="L96" s="61" t="s">
        <v>74</v>
      </c>
      <c r="N96" s="61" t="s">
        <v>236</v>
      </c>
      <c r="P96" s="61" t="s">
        <v>405</v>
      </c>
      <c r="R96" s="61" t="s">
        <v>77</v>
      </c>
      <c r="T96" s="65" t="s">
        <v>406</v>
      </c>
      <c r="U96" s="87"/>
      <c r="V96" s="67" t="s">
        <v>79</v>
      </c>
      <c r="W96" s="66"/>
      <c r="X96" s="67" t="s">
        <v>80</v>
      </c>
      <c r="Y96" s="88"/>
      <c r="Z96" s="67" t="s">
        <v>79</v>
      </c>
      <c r="AA96" s="66"/>
      <c r="AB96" s="63" t="s">
        <v>407</v>
      </c>
      <c r="AD96" s="63" t="s">
        <v>408</v>
      </c>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row>
    <row r="97" spans="1:227" s="62" customFormat="1" ht="113.1" customHeight="1">
      <c r="A97" s="20"/>
      <c r="B97" s="61" t="s">
        <v>409</v>
      </c>
      <c r="D97" s="61" t="s">
        <v>115</v>
      </c>
      <c r="F97" s="63" t="s">
        <v>402</v>
      </c>
      <c r="H97" s="61" t="s">
        <v>410</v>
      </c>
      <c r="J97" s="61" t="s">
        <v>411</v>
      </c>
      <c r="L97" s="61" t="s">
        <v>74</v>
      </c>
      <c r="N97" s="61" t="s">
        <v>178</v>
      </c>
      <c r="P97" s="61" t="s">
        <v>412</v>
      </c>
      <c r="R97" s="61" t="s">
        <v>77</v>
      </c>
      <c r="T97" s="65" t="s">
        <v>413</v>
      </c>
      <c r="U97" s="66"/>
      <c r="V97" s="67" t="s">
        <v>79</v>
      </c>
      <c r="W97" s="66"/>
      <c r="X97" s="67" t="s">
        <v>80</v>
      </c>
      <c r="Y97" s="69"/>
      <c r="Z97" s="67" t="s">
        <v>79</v>
      </c>
      <c r="AA97" s="66"/>
      <c r="AB97" s="63" t="s">
        <v>383</v>
      </c>
      <c r="AD97" s="63" t="s">
        <v>414</v>
      </c>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row>
    <row r="98" spans="1:227" s="62" customFormat="1" ht="68.099999999999994">
      <c r="A98" s="20"/>
      <c r="B98" s="61" t="s">
        <v>415</v>
      </c>
      <c r="D98" s="61" t="s">
        <v>115</v>
      </c>
      <c r="F98" s="63" t="s">
        <v>402</v>
      </c>
      <c r="H98" s="61" t="s">
        <v>416</v>
      </c>
      <c r="J98" s="61" t="s">
        <v>411</v>
      </c>
      <c r="L98" s="61" t="s">
        <v>74</v>
      </c>
      <c r="N98" s="61" t="s">
        <v>236</v>
      </c>
      <c r="P98" s="61" t="s">
        <v>417</v>
      </c>
      <c r="R98" s="61" t="s">
        <v>77</v>
      </c>
      <c r="T98" s="65" t="s">
        <v>418</v>
      </c>
      <c r="U98" s="87"/>
      <c r="V98" s="67" t="s">
        <v>79</v>
      </c>
      <c r="W98" s="66"/>
      <c r="X98" s="67" t="s">
        <v>80</v>
      </c>
      <c r="Y98" s="88"/>
      <c r="Z98" s="67" t="s">
        <v>79</v>
      </c>
      <c r="AA98" s="66"/>
      <c r="AB98" s="63" t="s">
        <v>419</v>
      </c>
      <c r="AD98" s="63" t="s">
        <v>420</v>
      </c>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row>
    <row r="99" spans="1:227" s="62" customFormat="1" ht="306">
      <c r="A99" s="20"/>
      <c r="B99" s="61" t="s">
        <v>421</v>
      </c>
      <c r="D99" s="61" t="s">
        <v>422</v>
      </c>
      <c r="F99" s="63" t="s">
        <v>184</v>
      </c>
      <c r="H99" s="61" t="s">
        <v>416</v>
      </c>
      <c r="J99" s="61" t="s">
        <v>411</v>
      </c>
      <c r="L99" s="61" t="s">
        <v>74</v>
      </c>
      <c r="N99" s="61" t="s">
        <v>236</v>
      </c>
      <c r="P99" s="61" t="s">
        <v>423</v>
      </c>
      <c r="R99" s="61" t="s">
        <v>77</v>
      </c>
      <c r="T99" s="65" t="s">
        <v>424</v>
      </c>
      <c r="U99" s="87"/>
      <c r="V99" s="67" t="s">
        <v>79</v>
      </c>
      <c r="W99" s="66"/>
      <c r="X99" s="67" t="s">
        <v>80</v>
      </c>
      <c r="Y99" s="88"/>
      <c r="Z99" s="67" t="s">
        <v>79</v>
      </c>
      <c r="AA99" s="66"/>
      <c r="AB99" s="63" t="s">
        <v>425</v>
      </c>
      <c r="AD99" s="63" t="s">
        <v>426</v>
      </c>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row>
    <row r="100" spans="1:227" s="62" customFormat="1" ht="272.10000000000002">
      <c r="A100" s="20"/>
      <c r="B100" s="61" t="s">
        <v>427</v>
      </c>
      <c r="D100" s="61" t="s">
        <v>428</v>
      </c>
      <c r="F100" s="63" t="s">
        <v>429</v>
      </c>
      <c r="H100" s="61" t="s">
        <v>88</v>
      </c>
      <c r="J100" s="61" t="s">
        <v>411</v>
      </c>
      <c r="L100" s="61" t="s">
        <v>74</v>
      </c>
      <c r="N100" s="61" t="s">
        <v>236</v>
      </c>
      <c r="P100" s="61" t="s">
        <v>430</v>
      </c>
      <c r="R100" s="61" t="s">
        <v>77</v>
      </c>
      <c r="T100" s="75" t="s">
        <v>431</v>
      </c>
      <c r="U100" s="87"/>
      <c r="V100" s="67" t="s">
        <v>79</v>
      </c>
      <c r="W100" s="66"/>
      <c r="X100" s="67" t="s">
        <v>80</v>
      </c>
      <c r="Y100" s="88"/>
      <c r="Z100" s="67" t="s">
        <v>80</v>
      </c>
      <c r="AA100" s="66"/>
      <c r="AB100" s="90" t="s">
        <v>432</v>
      </c>
      <c r="AD100" s="63" t="s">
        <v>433</v>
      </c>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row>
    <row r="101" spans="1:227" s="62" customFormat="1" ht="135.94999999999999">
      <c r="A101" s="20"/>
      <c r="B101" s="61" t="s">
        <v>434</v>
      </c>
      <c r="D101" s="61" t="s">
        <v>435</v>
      </c>
      <c r="F101" s="63" t="s">
        <v>435</v>
      </c>
      <c r="H101" s="61" t="s">
        <v>436</v>
      </c>
      <c r="J101" s="61" t="s">
        <v>411</v>
      </c>
      <c r="L101" s="61" t="s">
        <v>74</v>
      </c>
      <c r="N101" s="61" t="s">
        <v>236</v>
      </c>
      <c r="P101" s="61" t="s">
        <v>437</v>
      </c>
      <c r="R101" s="61" t="s">
        <v>77</v>
      </c>
      <c r="T101" s="65" t="s">
        <v>438</v>
      </c>
      <c r="U101" s="87"/>
      <c r="V101" s="67" t="s">
        <v>79</v>
      </c>
      <c r="W101" s="66"/>
      <c r="X101" s="67" t="s">
        <v>80</v>
      </c>
      <c r="Y101" s="88"/>
      <c r="Z101" s="67" t="s">
        <v>80</v>
      </c>
      <c r="AA101" s="66"/>
      <c r="AB101" s="63" t="s">
        <v>425</v>
      </c>
      <c r="AD101" s="63" t="s">
        <v>439</v>
      </c>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row>
    <row r="102" spans="1:227" s="62" customFormat="1" ht="204" customHeight="1">
      <c r="A102" s="20"/>
      <c r="B102" s="61" t="s">
        <v>440</v>
      </c>
      <c r="D102" s="61" t="s">
        <v>441</v>
      </c>
      <c r="F102" s="63" t="s">
        <v>402</v>
      </c>
      <c r="H102" s="61" t="s">
        <v>442</v>
      </c>
      <c r="J102" s="61" t="s">
        <v>411</v>
      </c>
      <c r="L102" s="61" t="s">
        <v>74</v>
      </c>
      <c r="N102" s="61" t="s">
        <v>236</v>
      </c>
      <c r="P102" s="61" t="s">
        <v>443</v>
      </c>
      <c r="R102" s="61" t="s">
        <v>77</v>
      </c>
      <c r="T102" s="65" t="s">
        <v>444</v>
      </c>
      <c r="U102" s="87"/>
      <c r="V102" s="67" t="s">
        <v>79</v>
      </c>
      <c r="W102" s="66"/>
      <c r="X102" s="67" t="s">
        <v>80</v>
      </c>
      <c r="Y102" s="88"/>
      <c r="Z102" s="67" t="s">
        <v>80</v>
      </c>
      <c r="AA102" s="66"/>
      <c r="AB102" s="90" t="s">
        <v>445</v>
      </c>
      <c r="AD102" s="63" t="s">
        <v>446</v>
      </c>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row>
    <row r="103" spans="1:227" s="62" customFormat="1" ht="153">
      <c r="A103" s="20"/>
      <c r="B103" s="61" t="s">
        <v>447</v>
      </c>
      <c r="D103" s="61" t="s">
        <v>448</v>
      </c>
      <c r="F103" s="63" t="s">
        <v>449</v>
      </c>
      <c r="H103" s="61" t="s">
        <v>116</v>
      </c>
      <c r="J103" s="61" t="s">
        <v>411</v>
      </c>
      <c r="L103" s="61" t="s">
        <v>74</v>
      </c>
      <c r="N103" s="61" t="s">
        <v>103</v>
      </c>
      <c r="P103" s="61" t="s">
        <v>450</v>
      </c>
      <c r="R103" s="61" t="s">
        <v>77</v>
      </c>
      <c r="T103" s="65" t="s">
        <v>451</v>
      </c>
      <c r="U103" s="87"/>
      <c r="V103" s="67" t="s">
        <v>79</v>
      </c>
      <c r="W103" s="66"/>
      <c r="X103" s="67" t="s">
        <v>80</v>
      </c>
      <c r="Y103" s="88"/>
      <c r="Z103" s="67" t="s">
        <v>80</v>
      </c>
      <c r="AA103" s="66"/>
      <c r="AB103" s="63" t="s">
        <v>425</v>
      </c>
      <c r="AD103" s="63" t="s">
        <v>452</v>
      </c>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row>
    <row r="104" spans="1:227" s="62" customFormat="1" ht="272.10000000000002">
      <c r="A104" s="20"/>
      <c r="B104" s="61" t="s">
        <v>453</v>
      </c>
      <c r="D104" s="61" t="s">
        <v>454</v>
      </c>
      <c r="F104" s="63" t="s">
        <v>429</v>
      </c>
      <c r="H104" s="61" t="s">
        <v>455</v>
      </c>
      <c r="J104" s="61" t="s">
        <v>411</v>
      </c>
      <c r="L104" s="61" t="s">
        <v>74</v>
      </c>
      <c r="N104" s="61" t="s">
        <v>103</v>
      </c>
      <c r="P104" s="61" t="s">
        <v>456</v>
      </c>
      <c r="R104" s="61" t="s">
        <v>77</v>
      </c>
      <c r="T104" s="75" t="s">
        <v>457</v>
      </c>
      <c r="U104" s="66"/>
      <c r="V104" s="67" t="s">
        <v>79</v>
      </c>
      <c r="W104" s="66"/>
      <c r="X104" s="67" t="s">
        <v>80</v>
      </c>
      <c r="Y104" s="69"/>
      <c r="Z104" s="67" t="s">
        <v>80</v>
      </c>
      <c r="AA104" s="66"/>
      <c r="AB104" s="63" t="s">
        <v>425</v>
      </c>
      <c r="AD104" s="63" t="s">
        <v>458</v>
      </c>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row>
    <row r="105" spans="1:227" s="62" customFormat="1" ht="204">
      <c r="A105" s="20"/>
      <c r="B105" s="61" t="s">
        <v>459</v>
      </c>
      <c r="D105" s="61" t="s">
        <v>460</v>
      </c>
      <c r="F105" s="63" t="s">
        <v>461</v>
      </c>
      <c r="H105" s="61" t="s">
        <v>462</v>
      </c>
      <c r="J105" s="61" t="s">
        <v>411</v>
      </c>
      <c r="L105" s="61" t="s">
        <v>74</v>
      </c>
      <c r="N105" s="61" t="s">
        <v>96</v>
      </c>
      <c r="P105" s="61" t="s">
        <v>463</v>
      </c>
      <c r="R105" s="61" t="s">
        <v>77</v>
      </c>
      <c r="T105" s="75" t="s">
        <v>464</v>
      </c>
      <c r="U105" s="87"/>
      <c r="V105" s="67" t="s">
        <v>79</v>
      </c>
      <c r="W105" s="66"/>
      <c r="X105" s="67" t="s">
        <v>80</v>
      </c>
      <c r="Y105" s="88"/>
      <c r="Z105" s="67" t="s">
        <v>80</v>
      </c>
      <c r="AA105" s="66"/>
      <c r="AB105" s="63" t="s">
        <v>465</v>
      </c>
      <c r="AD105" s="63" t="s">
        <v>466</v>
      </c>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row>
    <row r="106" spans="1:227" s="62" customFormat="1" ht="173.1" customHeight="1">
      <c r="A106" s="20"/>
      <c r="B106" s="61" t="s">
        <v>467</v>
      </c>
      <c r="D106" s="61" t="s">
        <v>468</v>
      </c>
      <c r="F106" s="63" t="s">
        <v>469</v>
      </c>
      <c r="H106" s="61" t="s">
        <v>95</v>
      </c>
      <c r="J106" s="61" t="s">
        <v>411</v>
      </c>
      <c r="L106" s="61" t="s">
        <v>74</v>
      </c>
      <c r="N106" s="61" t="s">
        <v>96</v>
      </c>
      <c r="P106" s="61" t="s">
        <v>470</v>
      </c>
      <c r="R106" s="61" t="s">
        <v>77</v>
      </c>
      <c r="T106" s="65" t="s">
        <v>471</v>
      </c>
      <c r="U106" s="87"/>
      <c r="V106" s="67" t="s">
        <v>79</v>
      </c>
      <c r="W106" s="66"/>
      <c r="X106" s="67" t="s">
        <v>80</v>
      </c>
      <c r="Y106" s="88"/>
      <c r="Z106" s="67" t="s">
        <v>80</v>
      </c>
      <c r="AA106" s="66"/>
      <c r="AB106" s="63" t="s">
        <v>472</v>
      </c>
      <c r="AD106" s="63" t="s">
        <v>473</v>
      </c>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row>
    <row r="107" spans="1:227" s="62" customFormat="1" ht="408" customHeight="1">
      <c r="A107" s="20"/>
      <c r="B107" s="61" t="s">
        <v>474</v>
      </c>
      <c r="D107" s="61" t="s">
        <v>123</v>
      </c>
      <c r="F107" s="63" t="s">
        <v>123</v>
      </c>
      <c r="H107" s="61" t="s">
        <v>475</v>
      </c>
      <c r="J107" s="61" t="s">
        <v>411</v>
      </c>
      <c r="L107" s="61" t="s">
        <v>74</v>
      </c>
      <c r="N107" s="61" t="s">
        <v>185</v>
      </c>
      <c r="P107" s="61" t="s">
        <v>476</v>
      </c>
      <c r="R107" s="61" t="s">
        <v>77</v>
      </c>
      <c r="T107" s="65" t="s">
        <v>477</v>
      </c>
      <c r="U107" s="87"/>
      <c r="V107" s="67" t="s">
        <v>79</v>
      </c>
      <c r="W107" s="66"/>
      <c r="X107" s="67" t="s">
        <v>80</v>
      </c>
      <c r="Y107" s="88"/>
      <c r="Z107" s="67" t="s">
        <v>80</v>
      </c>
      <c r="AA107" s="66"/>
      <c r="AB107" s="90" t="s">
        <v>425</v>
      </c>
      <c r="AC107" s="61"/>
      <c r="AD107" s="63" t="s">
        <v>478</v>
      </c>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row>
    <row r="108" spans="1:227" s="62" customFormat="1" ht="119.1">
      <c r="A108" s="20"/>
      <c r="B108" s="61" t="s">
        <v>479</v>
      </c>
      <c r="D108" s="61" t="s">
        <v>480</v>
      </c>
      <c r="F108" s="63" t="s">
        <v>435</v>
      </c>
      <c r="H108" s="61" t="s">
        <v>357</v>
      </c>
      <c r="J108" s="61" t="s">
        <v>411</v>
      </c>
      <c r="L108" s="61" t="s">
        <v>74</v>
      </c>
      <c r="N108" s="61" t="s">
        <v>481</v>
      </c>
      <c r="P108" s="61" t="s">
        <v>482</v>
      </c>
      <c r="R108" s="61" t="s">
        <v>77</v>
      </c>
      <c r="T108" s="65" t="s">
        <v>483</v>
      </c>
      <c r="U108" s="87"/>
      <c r="V108" s="67" t="s">
        <v>79</v>
      </c>
      <c r="W108" s="66"/>
      <c r="X108" s="67" t="s">
        <v>80</v>
      </c>
      <c r="Y108" s="88"/>
      <c r="Z108" s="67" t="s">
        <v>80</v>
      </c>
      <c r="AA108" s="66"/>
      <c r="AB108" s="63" t="s">
        <v>465</v>
      </c>
      <c r="AD108" s="63" t="s">
        <v>484</v>
      </c>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row>
    <row r="109" spans="1:227" s="62" customFormat="1" ht="68.099999999999994">
      <c r="A109" s="20"/>
      <c r="B109" s="61" t="s">
        <v>485</v>
      </c>
      <c r="D109" s="61" t="s">
        <v>486</v>
      </c>
      <c r="F109" s="63" t="s">
        <v>254</v>
      </c>
      <c r="H109" s="61" t="s">
        <v>116</v>
      </c>
      <c r="J109" s="61" t="s">
        <v>411</v>
      </c>
      <c r="L109" s="61" t="s">
        <v>74</v>
      </c>
      <c r="N109" s="61" t="s">
        <v>481</v>
      </c>
      <c r="P109" s="61" t="s">
        <v>487</v>
      </c>
      <c r="R109" s="61" t="s">
        <v>77</v>
      </c>
      <c r="T109" s="65" t="s">
        <v>488</v>
      </c>
      <c r="U109" s="87"/>
      <c r="V109" s="67" t="s">
        <v>79</v>
      </c>
      <c r="W109" s="66"/>
      <c r="X109" s="67" t="s">
        <v>80</v>
      </c>
      <c r="Y109" s="88"/>
      <c r="Z109" s="67" t="s">
        <v>80</v>
      </c>
      <c r="AA109" s="66"/>
      <c r="AB109" s="67" t="s">
        <v>80</v>
      </c>
      <c r="AD109" s="63" t="s">
        <v>489</v>
      </c>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row>
    <row r="110" spans="1:227" s="62" customFormat="1" ht="186.95">
      <c r="A110" s="20"/>
      <c r="B110" s="61" t="s">
        <v>490</v>
      </c>
      <c r="D110" s="61" t="s">
        <v>491</v>
      </c>
      <c r="F110" s="63" t="s">
        <v>492</v>
      </c>
      <c r="H110" s="61" t="s">
        <v>116</v>
      </c>
      <c r="J110" s="61" t="s">
        <v>411</v>
      </c>
      <c r="L110" s="61" t="s">
        <v>74</v>
      </c>
      <c r="N110" s="61" t="s">
        <v>481</v>
      </c>
      <c r="P110" s="61" t="s">
        <v>493</v>
      </c>
      <c r="R110" s="61" t="s">
        <v>77</v>
      </c>
      <c r="T110" s="65" t="s">
        <v>494</v>
      </c>
      <c r="U110" s="66"/>
      <c r="V110" s="67" t="s">
        <v>79</v>
      </c>
      <c r="W110" s="66"/>
      <c r="X110" s="67" t="s">
        <v>80</v>
      </c>
      <c r="Y110" s="69"/>
      <c r="Z110" s="67" t="s">
        <v>80</v>
      </c>
      <c r="AA110" s="66"/>
      <c r="AB110" s="67" t="s">
        <v>80</v>
      </c>
      <c r="AD110" s="63" t="s">
        <v>495</v>
      </c>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row>
    <row r="111" spans="1:227" s="62" customFormat="1" ht="102">
      <c r="A111" s="20"/>
      <c r="B111" s="61" t="s">
        <v>496</v>
      </c>
      <c r="D111" s="61" t="s">
        <v>497</v>
      </c>
      <c r="F111" s="63" t="s">
        <v>492</v>
      </c>
      <c r="H111" s="61" t="s">
        <v>116</v>
      </c>
      <c r="J111" s="61" t="s">
        <v>411</v>
      </c>
      <c r="L111" s="61" t="s">
        <v>74</v>
      </c>
      <c r="N111" s="61" t="s">
        <v>481</v>
      </c>
      <c r="P111" s="61" t="s">
        <v>498</v>
      </c>
      <c r="R111" s="61" t="s">
        <v>77</v>
      </c>
      <c r="T111" s="65" t="s">
        <v>499</v>
      </c>
      <c r="U111" s="87"/>
      <c r="V111" s="67" t="s">
        <v>79</v>
      </c>
      <c r="W111" s="66"/>
      <c r="X111" s="67" t="s">
        <v>80</v>
      </c>
      <c r="Y111" s="88"/>
      <c r="Z111" s="67" t="s">
        <v>80</v>
      </c>
      <c r="AA111" s="66"/>
      <c r="AB111" s="67" t="s">
        <v>80</v>
      </c>
      <c r="AD111" s="63" t="s">
        <v>500</v>
      </c>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row>
    <row r="112" spans="1:227" s="62" customFormat="1" ht="153">
      <c r="A112" s="20"/>
      <c r="B112" s="61" t="s">
        <v>501</v>
      </c>
      <c r="D112" s="61" t="s">
        <v>502</v>
      </c>
      <c r="F112" s="63" t="s">
        <v>402</v>
      </c>
      <c r="H112" s="61" t="s">
        <v>116</v>
      </c>
      <c r="J112" s="61" t="s">
        <v>411</v>
      </c>
      <c r="L112" s="61" t="s">
        <v>74</v>
      </c>
      <c r="N112" s="61" t="s">
        <v>481</v>
      </c>
      <c r="P112" s="61" t="s">
        <v>503</v>
      </c>
      <c r="R112" s="61" t="s">
        <v>77</v>
      </c>
      <c r="T112" s="65" t="s">
        <v>504</v>
      </c>
      <c r="U112" s="87"/>
      <c r="V112" s="67" t="s">
        <v>79</v>
      </c>
      <c r="W112" s="66"/>
      <c r="X112" s="67" t="s">
        <v>80</v>
      </c>
      <c r="Y112" s="88"/>
      <c r="Z112" s="67" t="s">
        <v>80</v>
      </c>
      <c r="AA112" s="66"/>
      <c r="AB112" s="67" t="s">
        <v>80</v>
      </c>
      <c r="AD112" s="63" t="s">
        <v>505</v>
      </c>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row>
    <row r="113" spans="1:771" s="62" customFormat="1" ht="84.95">
      <c r="A113" s="20"/>
      <c r="B113" s="61" t="s">
        <v>506</v>
      </c>
      <c r="D113" s="61" t="s">
        <v>115</v>
      </c>
      <c r="F113" s="63" t="s">
        <v>402</v>
      </c>
      <c r="H113" s="61" t="s">
        <v>507</v>
      </c>
      <c r="J113" s="61" t="s">
        <v>411</v>
      </c>
      <c r="L113" s="61" t="s">
        <v>74</v>
      </c>
      <c r="N113" s="61" t="s">
        <v>481</v>
      </c>
      <c r="P113" s="61" t="s">
        <v>508</v>
      </c>
      <c r="R113" s="61" t="s">
        <v>77</v>
      </c>
      <c r="T113" s="65" t="s">
        <v>509</v>
      </c>
      <c r="U113" s="66"/>
      <c r="V113" s="67" t="s">
        <v>79</v>
      </c>
      <c r="W113" s="66"/>
      <c r="X113" s="67" t="s">
        <v>80</v>
      </c>
      <c r="Y113" s="69"/>
      <c r="Z113" s="67" t="s">
        <v>80</v>
      </c>
      <c r="AA113" s="66"/>
      <c r="AB113" s="63" t="s">
        <v>425</v>
      </c>
      <c r="AD113" s="63" t="s">
        <v>510</v>
      </c>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row>
    <row r="114" spans="1:771" s="62" customFormat="1" ht="102">
      <c r="A114" s="20"/>
      <c r="B114" s="61" t="s">
        <v>511</v>
      </c>
      <c r="D114" s="61" t="s">
        <v>115</v>
      </c>
      <c r="F114" s="63" t="s">
        <v>402</v>
      </c>
      <c r="H114" s="61" t="s">
        <v>507</v>
      </c>
      <c r="J114" s="61" t="s">
        <v>411</v>
      </c>
      <c r="L114" s="61" t="s">
        <v>74</v>
      </c>
      <c r="N114" s="61" t="s">
        <v>481</v>
      </c>
      <c r="P114" s="61" t="s">
        <v>512</v>
      </c>
      <c r="R114" s="61" t="s">
        <v>77</v>
      </c>
      <c r="T114" s="65" t="s">
        <v>513</v>
      </c>
      <c r="U114" s="66"/>
      <c r="V114" s="67" t="s">
        <v>79</v>
      </c>
      <c r="W114" s="66"/>
      <c r="X114" s="67" t="s">
        <v>80</v>
      </c>
      <c r="Y114" s="69"/>
      <c r="Z114" s="67" t="s">
        <v>80</v>
      </c>
      <c r="AA114" s="66"/>
      <c r="AB114" s="63" t="s">
        <v>425</v>
      </c>
      <c r="AD114" s="63" t="s">
        <v>514</v>
      </c>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row>
    <row r="115" spans="1:771" s="62" customFormat="1" ht="68.099999999999994">
      <c r="A115" s="20"/>
      <c r="B115" s="61" t="s">
        <v>515</v>
      </c>
      <c r="D115" s="61" t="s">
        <v>115</v>
      </c>
      <c r="F115" s="63" t="s">
        <v>402</v>
      </c>
      <c r="H115" s="61" t="s">
        <v>507</v>
      </c>
      <c r="J115" s="61" t="s">
        <v>411</v>
      </c>
      <c r="L115" s="61" t="s">
        <v>74</v>
      </c>
      <c r="N115" s="61" t="s">
        <v>481</v>
      </c>
      <c r="P115" s="61" t="s">
        <v>516</v>
      </c>
      <c r="R115" s="61" t="s">
        <v>77</v>
      </c>
      <c r="T115" s="65" t="s">
        <v>451</v>
      </c>
      <c r="U115" s="66"/>
      <c r="V115" s="67" t="s">
        <v>79</v>
      </c>
      <c r="W115" s="66"/>
      <c r="X115" s="67" t="s">
        <v>80</v>
      </c>
      <c r="Y115" s="69"/>
      <c r="Z115" s="67" t="s">
        <v>80</v>
      </c>
      <c r="AA115" s="66"/>
      <c r="AB115" s="63" t="s">
        <v>425</v>
      </c>
      <c r="AD115" s="63" t="s">
        <v>517</v>
      </c>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row>
    <row r="116" spans="1:771" s="62" customFormat="1" ht="68.099999999999994">
      <c r="A116" s="20"/>
      <c r="B116" s="61" t="s">
        <v>518</v>
      </c>
      <c r="D116" s="61" t="s">
        <v>486</v>
      </c>
      <c r="F116" s="63" t="s">
        <v>254</v>
      </c>
      <c r="H116" s="61" t="s">
        <v>291</v>
      </c>
      <c r="J116" s="61" t="s">
        <v>411</v>
      </c>
      <c r="L116" s="61" t="s">
        <v>74</v>
      </c>
      <c r="N116" s="61" t="s">
        <v>178</v>
      </c>
      <c r="P116" s="61" t="s">
        <v>519</v>
      </c>
      <c r="R116" s="91" t="s">
        <v>77</v>
      </c>
      <c r="T116" s="92" t="s">
        <v>520</v>
      </c>
      <c r="U116" s="66"/>
      <c r="V116" s="67" t="s">
        <v>79</v>
      </c>
      <c r="W116" s="69"/>
      <c r="X116" s="67" t="s">
        <v>80</v>
      </c>
      <c r="Y116" s="69"/>
      <c r="Z116" s="67" t="s">
        <v>80</v>
      </c>
      <c r="AA116" s="66"/>
      <c r="AB116" s="67" t="s">
        <v>80</v>
      </c>
      <c r="AD116" s="63" t="s">
        <v>521</v>
      </c>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row>
    <row r="117" spans="1:771" s="62" customFormat="1" ht="153">
      <c r="A117" s="20"/>
      <c r="B117" s="61" t="s">
        <v>522</v>
      </c>
      <c r="D117" s="61" t="s">
        <v>115</v>
      </c>
      <c r="F117" s="63" t="s">
        <v>402</v>
      </c>
      <c r="H117" s="61" t="s">
        <v>357</v>
      </c>
      <c r="J117" s="61" t="s">
        <v>411</v>
      </c>
      <c r="L117" s="61" t="s">
        <v>74</v>
      </c>
      <c r="N117" s="61" t="s">
        <v>178</v>
      </c>
      <c r="P117" s="61" t="s">
        <v>523</v>
      </c>
      <c r="R117" s="61" t="s">
        <v>77</v>
      </c>
      <c r="T117" s="65" t="s">
        <v>524</v>
      </c>
      <c r="U117" s="87"/>
      <c r="V117" s="67" t="s">
        <v>80</v>
      </c>
      <c r="W117" s="69"/>
      <c r="X117" s="67" t="s">
        <v>80</v>
      </c>
      <c r="Y117" s="88"/>
      <c r="Z117" s="67" t="s">
        <v>80</v>
      </c>
      <c r="AA117" s="66"/>
      <c r="AB117" s="63" t="s">
        <v>465</v>
      </c>
      <c r="AD117" s="63" t="s">
        <v>525</v>
      </c>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row>
    <row r="118" spans="1:771" s="62" customFormat="1" ht="72.95" customHeight="1">
      <c r="A118" s="20"/>
      <c r="B118" s="61" t="s">
        <v>526</v>
      </c>
      <c r="D118" s="61" t="s">
        <v>115</v>
      </c>
      <c r="F118" s="63" t="s">
        <v>402</v>
      </c>
      <c r="H118" s="61" t="s">
        <v>357</v>
      </c>
      <c r="J118" s="61" t="s">
        <v>411</v>
      </c>
      <c r="L118" s="61" t="s">
        <v>74</v>
      </c>
      <c r="N118" s="61" t="s">
        <v>178</v>
      </c>
      <c r="P118" s="61" t="s">
        <v>527</v>
      </c>
      <c r="R118" s="61" t="s">
        <v>77</v>
      </c>
      <c r="T118" s="92" t="s">
        <v>528</v>
      </c>
      <c r="U118" s="66"/>
      <c r="V118" s="67" t="s">
        <v>80</v>
      </c>
      <c r="W118" s="69"/>
      <c r="X118" s="67" t="s">
        <v>80</v>
      </c>
      <c r="Y118" s="69"/>
      <c r="Z118" s="67" t="s">
        <v>80</v>
      </c>
      <c r="AA118" s="66"/>
      <c r="AB118" s="63" t="s">
        <v>465</v>
      </c>
      <c r="AD118" s="63" t="s">
        <v>525</v>
      </c>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row>
    <row r="119" spans="1:771" s="62" customFormat="1" ht="339.95">
      <c r="A119" s="20"/>
      <c r="B119" s="61" t="s">
        <v>529</v>
      </c>
      <c r="D119" s="61" t="s">
        <v>115</v>
      </c>
      <c r="F119" s="63" t="s">
        <v>402</v>
      </c>
      <c r="H119" s="61" t="s">
        <v>357</v>
      </c>
      <c r="J119" s="61" t="s">
        <v>411</v>
      </c>
      <c r="L119" s="61" t="s">
        <v>74</v>
      </c>
      <c r="N119" s="61" t="s">
        <v>178</v>
      </c>
      <c r="P119" s="61" t="s">
        <v>530</v>
      </c>
      <c r="R119" s="61" t="s">
        <v>77</v>
      </c>
      <c r="T119" s="75" t="s">
        <v>531</v>
      </c>
      <c r="U119" s="66"/>
      <c r="V119" s="67" t="s">
        <v>80</v>
      </c>
      <c r="W119" s="69"/>
      <c r="X119" s="67" t="s">
        <v>80</v>
      </c>
      <c r="Y119" s="69"/>
      <c r="Z119" s="67" t="s">
        <v>80</v>
      </c>
      <c r="AA119" s="66"/>
      <c r="AB119" s="63" t="s">
        <v>532</v>
      </c>
      <c r="AD119" s="63" t="s">
        <v>525</v>
      </c>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row>
    <row r="120" spans="1:771" s="62" customFormat="1" ht="84.95">
      <c r="A120" s="20"/>
      <c r="B120" s="61" t="s">
        <v>533</v>
      </c>
      <c r="D120" s="61" t="s">
        <v>115</v>
      </c>
      <c r="F120" s="63" t="s">
        <v>402</v>
      </c>
      <c r="H120" s="61" t="s">
        <v>357</v>
      </c>
      <c r="J120" s="61" t="s">
        <v>411</v>
      </c>
      <c r="L120" s="61" t="s">
        <v>74</v>
      </c>
      <c r="N120" s="61" t="s">
        <v>178</v>
      </c>
      <c r="P120" s="61" t="s">
        <v>534</v>
      </c>
      <c r="R120" s="61" t="s">
        <v>77</v>
      </c>
      <c r="T120" s="65" t="s">
        <v>535</v>
      </c>
      <c r="U120" s="87"/>
      <c r="V120" s="67" t="s">
        <v>80</v>
      </c>
      <c r="W120" s="69"/>
      <c r="X120" s="67" t="s">
        <v>80</v>
      </c>
      <c r="Y120" s="88"/>
      <c r="Z120" s="67" t="s">
        <v>80</v>
      </c>
      <c r="AA120" s="66"/>
      <c r="AB120" s="63" t="s">
        <v>465</v>
      </c>
      <c r="AD120" s="63" t="s">
        <v>525</v>
      </c>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row>
    <row r="121" spans="1:771" s="62" customFormat="1" ht="68.099999999999994">
      <c r="A121" s="20"/>
      <c r="B121" s="61" t="s">
        <v>536</v>
      </c>
      <c r="D121" s="61" t="s">
        <v>115</v>
      </c>
      <c r="F121" s="63" t="s">
        <v>254</v>
      </c>
      <c r="H121" s="61" t="s">
        <v>537</v>
      </c>
      <c r="J121" s="61" t="s">
        <v>411</v>
      </c>
      <c r="L121" s="61" t="s">
        <v>74</v>
      </c>
      <c r="N121" s="61" t="s">
        <v>178</v>
      </c>
      <c r="P121" s="61" t="s">
        <v>538</v>
      </c>
      <c r="R121" s="61" t="s">
        <v>77</v>
      </c>
      <c r="T121" s="92" t="s">
        <v>539</v>
      </c>
      <c r="U121" s="66"/>
      <c r="V121" s="67" t="s">
        <v>80</v>
      </c>
      <c r="W121" s="69"/>
      <c r="X121" s="67" t="s">
        <v>80</v>
      </c>
      <c r="Y121" s="69"/>
      <c r="Z121" s="67" t="s">
        <v>80</v>
      </c>
      <c r="AA121" s="66"/>
      <c r="AB121" s="63" t="s">
        <v>465</v>
      </c>
      <c r="AD121" s="63" t="s">
        <v>525</v>
      </c>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row>
    <row r="122" spans="1:771" s="62" customFormat="1" ht="68.099999999999994">
      <c r="A122" s="20"/>
      <c r="B122" s="61" t="s">
        <v>540</v>
      </c>
      <c r="D122" s="61" t="s">
        <v>115</v>
      </c>
      <c r="F122" s="63" t="s">
        <v>402</v>
      </c>
      <c r="H122" s="61" t="s">
        <v>357</v>
      </c>
      <c r="J122" s="61" t="s">
        <v>411</v>
      </c>
      <c r="L122" s="61" t="s">
        <v>74</v>
      </c>
      <c r="N122" s="61" t="s">
        <v>178</v>
      </c>
      <c r="P122" s="61" t="s">
        <v>541</v>
      </c>
      <c r="R122" s="61" t="s">
        <v>77</v>
      </c>
      <c r="T122" s="92" t="s">
        <v>542</v>
      </c>
      <c r="U122" s="66"/>
      <c r="V122" s="67" t="s">
        <v>80</v>
      </c>
      <c r="W122" s="69"/>
      <c r="X122" s="67" t="s">
        <v>80</v>
      </c>
      <c r="Y122" s="69"/>
      <c r="Z122" s="67" t="s">
        <v>80</v>
      </c>
      <c r="AA122" s="66"/>
      <c r="AB122" s="63" t="s">
        <v>425</v>
      </c>
      <c r="AD122" s="63" t="s">
        <v>525</v>
      </c>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row>
    <row r="123" spans="1:771" s="62" customFormat="1" ht="68.099999999999994">
      <c r="A123" s="20"/>
      <c r="B123" s="61" t="s">
        <v>543</v>
      </c>
      <c r="D123" s="61" t="s">
        <v>115</v>
      </c>
      <c r="F123" s="63" t="s">
        <v>402</v>
      </c>
      <c r="H123" s="61" t="s">
        <v>357</v>
      </c>
      <c r="J123" s="61" t="s">
        <v>411</v>
      </c>
      <c r="L123" s="61" t="s">
        <v>74</v>
      </c>
      <c r="N123" s="61" t="s">
        <v>178</v>
      </c>
      <c r="P123" s="61" t="s">
        <v>544</v>
      </c>
      <c r="R123" s="61" t="s">
        <v>77</v>
      </c>
      <c r="T123" s="65" t="s">
        <v>545</v>
      </c>
      <c r="U123" s="87"/>
      <c r="V123" s="67" t="s">
        <v>80</v>
      </c>
      <c r="W123" s="69"/>
      <c r="X123" s="67" t="s">
        <v>80</v>
      </c>
      <c r="Y123" s="88"/>
      <c r="Z123" s="67" t="s">
        <v>80</v>
      </c>
      <c r="AA123" s="66"/>
      <c r="AB123" s="63" t="s">
        <v>425</v>
      </c>
      <c r="AD123" s="63" t="s">
        <v>525</v>
      </c>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row>
    <row r="124" spans="1:771" s="62" customFormat="1" ht="68.099999999999994">
      <c r="A124" s="20"/>
      <c r="B124" s="61" t="s">
        <v>546</v>
      </c>
      <c r="D124" s="61" t="s">
        <v>115</v>
      </c>
      <c r="F124" s="63" t="s">
        <v>402</v>
      </c>
      <c r="H124" s="61" t="s">
        <v>357</v>
      </c>
      <c r="J124" s="61" t="s">
        <v>411</v>
      </c>
      <c r="L124" s="61" t="s">
        <v>74</v>
      </c>
      <c r="N124" s="61" t="s">
        <v>178</v>
      </c>
      <c r="P124" s="91" t="s">
        <v>547</v>
      </c>
      <c r="R124" s="61" t="s">
        <v>77</v>
      </c>
      <c r="T124" s="75" t="s">
        <v>548</v>
      </c>
      <c r="U124" s="66"/>
      <c r="V124" s="67" t="s">
        <v>80</v>
      </c>
      <c r="W124" s="69"/>
      <c r="X124" s="67" t="s">
        <v>80</v>
      </c>
      <c r="Y124" s="69"/>
      <c r="Z124" s="67" t="s">
        <v>80</v>
      </c>
      <c r="AA124" s="66"/>
      <c r="AB124" s="63" t="s">
        <v>425</v>
      </c>
      <c r="AD124" s="63" t="s">
        <v>525</v>
      </c>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row>
    <row r="125" spans="1:771" s="62" customFormat="1" ht="102">
      <c r="A125" s="20"/>
      <c r="B125" s="61" t="s">
        <v>549</v>
      </c>
      <c r="D125" s="61" t="s">
        <v>115</v>
      </c>
      <c r="F125" s="63" t="s">
        <v>402</v>
      </c>
      <c r="H125" s="61" t="s">
        <v>357</v>
      </c>
      <c r="J125" s="61" t="s">
        <v>411</v>
      </c>
      <c r="L125" s="61" t="s">
        <v>74</v>
      </c>
      <c r="N125" s="61" t="s">
        <v>178</v>
      </c>
      <c r="P125" s="61" t="s">
        <v>550</v>
      </c>
      <c r="R125" s="61" t="s">
        <v>77</v>
      </c>
      <c r="T125" s="92" t="s">
        <v>551</v>
      </c>
      <c r="U125" s="66"/>
      <c r="V125" s="67" t="s">
        <v>80</v>
      </c>
      <c r="W125" s="69"/>
      <c r="X125" s="67" t="s">
        <v>80</v>
      </c>
      <c r="Y125" s="69"/>
      <c r="Z125" s="67" t="s">
        <v>80</v>
      </c>
      <c r="AA125" s="66"/>
      <c r="AB125" s="67" t="s">
        <v>80</v>
      </c>
      <c r="AD125" s="63" t="s">
        <v>525</v>
      </c>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row>
    <row r="126" spans="1:771" s="62" customFormat="1" ht="84.95">
      <c r="A126" s="20"/>
      <c r="B126" s="63" t="s">
        <v>552</v>
      </c>
      <c r="C126" s="96"/>
      <c r="D126" s="63" t="s">
        <v>553</v>
      </c>
      <c r="E126" s="96"/>
      <c r="F126" s="63" t="s">
        <v>254</v>
      </c>
      <c r="G126" s="96"/>
      <c r="H126" s="63" t="s">
        <v>364</v>
      </c>
      <c r="I126" s="96"/>
      <c r="J126" s="63" t="s">
        <v>365</v>
      </c>
      <c r="K126" s="96"/>
      <c r="L126" s="61" t="s">
        <v>74</v>
      </c>
      <c r="M126" s="96"/>
      <c r="N126" s="63" t="s">
        <v>103</v>
      </c>
      <c r="O126" s="96"/>
      <c r="P126" s="63" t="s">
        <v>554</v>
      </c>
      <c r="R126" s="61" t="s">
        <v>77</v>
      </c>
      <c r="T126" s="65" t="s">
        <v>555</v>
      </c>
      <c r="U126" s="66"/>
      <c r="V126" s="67" t="s">
        <v>79</v>
      </c>
      <c r="W126" s="68"/>
      <c r="X126" s="67" t="s">
        <v>80</v>
      </c>
      <c r="Y126" s="68"/>
      <c r="Z126" s="67" t="s">
        <v>80</v>
      </c>
      <c r="AA126" s="68"/>
      <c r="AB126" s="67" t="s">
        <v>80</v>
      </c>
      <c r="AD126" s="63" t="s">
        <v>556</v>
      </c>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c r="IW126" s="20"/>
      <c r="IX126" s="20"/>
      <c r="IY126" s="20"/>
      <c r="IZ126" s="20"/>
      <c r="JA126" s="20"/>
      <c r="JB126" s="20"/>
      <c r="JC126" s="20"/>
      <c r="JD126" s="20"/>
      <c r="JE126" s="20"/>
      <c r="JF126" s="20"/>
      <c r="JG126" s="20"/>
      <c r="JH126" s="20"/>
      <c r="JI126" s="20"/>
      <c r="JJ126" s="20"/>
      <c r="JK126" s="20"/>
      <c r="JL126" s="20"/>
      <c r="JM126" s="20"/>
      <c r="JN126" s="20"/>
      <c r="JO126" s="20"/>
      <c r="JP126" s="20"/>
      <c r="JQ126" s="20"/>
      <c r="JR126" s="20"/>
      <c r="JS126" s="20"/>
      <c r="JT126" s="20"/>
      <c r="JU126" s="20"/>
      <c r="JV126" s="20"/>
      <c r="JW126" s="20"/>
      <c r="JX126" s="20"/>
      <c r="JY126" s="20"/>
      <c r="JZ126" s="20"/>
      <c r="KA126" s="20"/>
      <c r="KB126" s="20"/>
      <c r="KC126" s="20"/>
      <c r="KD126" s="20"/>
      <c r="KE126" s="20"/>
      <c r="KF126" s="20"/>
      <c r="KG126" s="20"/>
      <c r="KH126" s="20"/>
      <c r="KI126" s="20"/>
      <c r="KJ126" s="20"/>
      <c r="KK126" s="20"/>
      <c r="KL126" s="20"/>
      <c r="KM126" s="20"/>
      <c r="KN126" s="20"/>
      <c r="KO126" s="20"/>
      <c r="KP126" s="20"/>
      <c r="KQ126" s="20"/>
      <c r="KR126" s="20"/>
      <c r="KS126" s="20"/>
      <c r="KT126" s="20"/>
      <c r="KU126" s="20"/>
      <c r="KV126" s="20"/>
      <c r="KW126" s="20"/>
      <c r="KX126" s="20"/>
      <c r="KY126" s="20"/>
      <c r="KZ126" s="20"/>
      <c r="LA126" s="20"/>
      <c r="LB126" s="20"/>
      <c r="LC126" s="20"/>
      <c r="LD126" s="20"/>
      <c r="LE126" s="20"/>
      <c r="LF126" s="20"/>
      <c r="LG126" s="20"/>
      <c r="LH126" s="20"/>
      <c r="LI126" s="20"/>
      <c r="LJ126" s="20"/>
      <c r="LK126" s="20"/>
      <c r="LL126" s="20"/>
      <c r="LM126" s="20"/>
      <c r="LN126" s="20"/>
      <c r="LO126" s="20"/>
      <c r="LP126" s="20"/>
      <c r="LQ126" s="20"/>
      <c r="LR126" s="20"/>
      <c r="LS126" s="20"/>
      <c r="LT126" s="20"/>
      <c r="LU126" s="20"/>
      <c r="LV126" s="20"/>
      <c r="LW126" s="20"/>
      <c r="LX126" s="20"/>
      <c r="LY126" s="20"/>
      <c r="LZ126" s="20"/>
      <c r="MA126" s="20"/>
      <c r="MB126" s="20"/>
      <c r="MC126" s="20"/>
      <c r="MD126" s="20"/>
      <c r="ME126" s="20"/>
      <c r="MF126" s="20"/>
      <c r="MG126" s="20"/>
      <c r="MH126" s="20"/>
      <c r="MI126" s="20"/>
      <c r="MJ126" s="20"/>
      <c r="MK126" s="20"/>
      <c r="ML126" s="20"/>
      <c r="MM126" s="20"/>
      <c r="MN126" s="20"/>
      <c r="MO126" s="20"/>
      <c r="MP126" s="20"/>
      <c r="MQ126" s="20"/>
      <c r="MR126" s="20"/>
      <c r="MS126" s="20"/>
      <c r="MT126" s="20"/>
      <c r="MU126" s="20"/>
      <c r="MV126" s="20"/>
      <c r="MW126" s="20"/>
      <c r="MX126" s="20"/>
      <c r="MY126" s="20"/>
      <c r="MZ126" s="20"/>
      <c r="NA126" s="20"/>
      <c r="NB126" s="20"/>
      <c r="NC126" s="20"/>
      <c r="ND126" s="20"/>
      <c r="NE126" s="20"/>
      <c r="NF126" s="20"/>
      <c r="NG126" s="20"/>
      <c r="NH126" s="20"/>
      <c r="NI126" s="20"/>
      <c r="NJ126" s="20"/>
      <c r="NK126" s="20"/>
      <c r="NL126" s="20"/>
      <c r="NM126" s="20"/>
      <c r="NN126" s="20"/>
      <c r="NO126" s="20"/>
      <c r="NP126" s="20"/>
      <c r="NQ126" s="20"/>
      <c r="NR126" s="20"/>
      <c r="NS126" s="20"/>
      <c r="NT126" s="20"/>
      <c r="NU126" s="20"/>
      <c r="NV126" s="20"/>
      <c r="NW126" s="20"/>
      <c r="NX126" s="20"/>
      <c r="NY126" s="20"/>
      <c r="NZ126" s="20"/>
      <c r="OA126" s="20"/>
      <c r="OB126" s="20"/>
      <c r="OC126" s="20"/>
      <c r="OD126" s="20"/>
      <c r="OE126" s="20"/>
      <c r="OF126" s="20"/>
      <c r="OG126" s="20"/>
      <c r="OH126" s="20"/>
      <c r="OI126" s="20"/>
      <c r="OJ126" s="20"/>
      <c r="OK126" s="20"/>
      <c r="OL126" s="20"/>
      <c r="OM126" s="20"/>
      <c r="ON126" s="20"/>
      <c r="OO126" s="20"/>
      <c r="OP126" s="20"/>
      <c r="OQ126" s="20"/>
      <c r="OR126" s="20"/>
      <c r="OS126" s="20"/>
      <c r="OT126" s="20"/>
      <c r="OU126" s="20"/>
      <c r="OV126" s="20"/>
      <c r="OW126" s="20"/>
      <c r="OX126" s="20"/>
      <c r="OY126" s="20"/>
      <c r="OZ126" s="20"/>
      <c r="PA126" s="20"/>
      <c r="PB126" s="20"/>
      <c r="PC126" s="20"/>
      <c r="PD126" s="20"/>
      <c r="PE126" s="20"/>
      <c r="PF126" s="20"/>
      <c r="PG126" s="20"/>
      <c r="PH126" s="20"/>
      <c r="PI126" s="20"/>
      <c r="PJ126" s="20"/>
      <c r="PK126" s="20"/>
      <c r="PL126" s="20"/>
      <c r="PM126" s="20"/>
      <c r="PN126" s="20"/>
      <c r="PO126" s="20"/>
      <c r="PP126" s="20"/>
      <c r="PQ126" s="20"/>
      <c r="PR126" s="20"/>
      <c r="PS126" s="20"/>
      <c r="PT126" s="20"/>
      <c r="PU126" s="20"/>
      <c r="PV126" s="20"/>
      <c r="PW126" s="20"/>
      <c r="PX126" s="20"/>
      <c r="PY126" s="20"/>
      <c r="PZ126" s="20"/>
      <c r="QA126" s="20"/>
      <c r="QB126" s="20"/>
      <c r="QC126" s="20"/>
      <c r="QD126" s="20"/>
      <c r="QE126" s="20"/>
      <c r="QF126" s="20"/>
      <c r="QG126" s="20"/>
      <c r="QH126" s="20"/>
      <c r="QI126" s="20"/>
      <c r="QJ126" s="20"/>
      <c r="QK126" s="20"/>
      <c r="QL126" s="20"/>
      <c r="QM126" s="20"/>
      <c r="QN126" s="20"/>
      <c r="QO126" s="20"/>
      <c r="QP126" s="20"/>
      <c r="QQ126" s="20"/>
      <c r="QR126" s="20"/>
      <c r="QS126" s="20"/>
      <c r="QT126" s="20"/>
      <c r="QU126" s="20"/>
      <c r="QV126" s="20"/>
      <c r="QW126" s="20"/>
      <c r="QX126" s="20"/>
      <c r="QY126" s="20"/>
      <c r="QZ126" s="20"/>
      <c r="RA126" s="20"/>
      <c r="RB126" s="20"/>
      <c r="RC126" s="20"/>
      <c r="RD126" s="20"/>
      <c r="RE126" s="20"/>
      <c r="RF126" s="20"/>
      <c r="RG126" s="20"/>
      <c r="RH126" s="20"/>
      <c r="RI126" s="20"/>
      <c r="RJ126" s="20"/>
      <c r="RK126" s="20"/>
      <c r="RL126" s="20"/>
      <c r="RM126" s="20"/>
      <c r="RN126" s="20"/>
      <c r="RO126" s="20"/>
      <c r="RP126" s="20"/>
      <c r="RQ126" s="20"/>
      <c r="RR126" s="20"/>
      <c r="RS126" s="20"/>
      <c r="RT126" s="20"/>
      <c r="RU126" s="20"/>
      <c r="RV126" s="20"/>
      <c r="RW126" s="20"/>
      <c r="RX126" s="20"/>
      <c r="RY126" s="20"/>
      <c r="RZ126" s="20"/>
      <c r="SA126" s="20"/>
      <c r="SB126" s="20"/>
      <c r="SC126" s="20"/>
      <c r="SD126" s="20"/>
      <c r="SE126" s="20"/>
      <c r="SF126" s="20"/>
      <c r="SG126" s="20"/>
      <c r="SH126" s="20"/>
      <c r="SI126" s="20"/>
      <c r="SJ126" s="20"/>
      <c r="SK126" s="20"/>
      <c r="SL126" s="20"/>
      <c r="SM126" s="20"/>
      <c r="SN126" s="20"/>
      <c r="SO126" s="20"/>
      <c r="SP126" s="20"/>
      <c r="SQ126" s="20"/>
      <c r="SR126" s="20"/>
      <c r="SS126" s="20"/>
      <c r="ST126" s="20"/>
      <c r="SU126" s="20"/>
      <c r="SV126" s="20"/>
      <c r="SW126" s="20"/>
      <c r="SX126" s="20"/>
      <c r="SY126" s="20"/>
      <c r="SZ126" s="20"/>
      <c r="TA126" s="20"/>
      <c r="TB126" s="20"/>
      <c r="TC126" s="20"/>
      <c r="TD126" s="20"/>
      <c r="TE126" s="20"/>
      <c r="TF126" s="20"/>
      <c r="TG126" s="20"/>
      <c r="TH126" s="20"/>
      <c r="TI126" s="20"/>
      <c r="TJ126" s="20"/>
      <c r="TK126" s="20"/>
      <c r="TL126" s="20"/>
      <c r="TM126" s="20"/>
      <c r="TN126" s="20"/>
      <c r="TO126" s="20"/>
      <c r="TP126" s="20"/>
      <c r="TQ126" s="20"/>
      <c r="TR126" s="20"/>
      <c r="TS126" s="20"/>
      <c r="TT126" s="20"/>
      <c r="TU126" s="20"/>
      <c r="TV126" s="20"/>
      <c r="TW126" s="20"/>
      <c r="TX126" s="20"/>
      <c r="TY126" s="20"/>
      <c r="TZ126" s="20"/>
      <c r="UA126" s="20"/>
      <c r="UB126" s="20"/>
      <c r="UC126" s="20"/>
      <c r="UD126" s="20"/>
      <c r="UE126" s="20"/>
      <c r="UF126" s="20"/>
      <c r="UG126" s="20"/>
      <c r="UH126" s="20"/>
      <c r="UI126" s="20"/>
      <c r="UJ126" s="20"/>
      <c r="UK126" s="20"/>
      <c r="UL126" s="20"/>
      <c r="UM126" s="20"/>
      <c r="UN126" s="20"/>
      <c r="UO126" s="20"/>
      <c r="UP126" s="20"/>
      <c r="UQ126" s="20"/>
      <c r="UR126" s="20"/>
      <c r="US126" s="20"/>
      <c r="UT126" s="20"/>
      <c r="UU126" s="20"/>
      <c r="UV126" s="20"/>
      <c r="UW126" s="20"/>
      <c r="UX126" s="20"/>
      <c r="UY126" s="20"/>
      <c r="UZ126" s="20"/>
      <c r="VA126" s="20"/>
      <c r="VB126" s="20"/>
      <c r="VC126" s="20"/>
      <c r="VD126" s="20"/>
      <c r="VE126" s="20"/>
      <c r="VF126" s="20"/>
      <c r="VG126" s="20"/>
      <c r="VH126" s="20"/>
      <c r="VI126" s="20"/>
      <c r="VJ126" s="20"/>
      <c r="VK126" s="20"/>
      <c r="VL126" s="20"/>
      <c r="VM126" s="20"/>
      <c r="VN126" s="20"/>
      <c r="VO126" s="20"/>
      <c r="VP126" s="20"/>
      <c r="VQ126" s="20"/>
      <c r="VR126" s="20"/>
      <c r="VS126" s="20"/>
      <c r="VT126" s="20"/>
      <c r="VU126" s="20"/>
      <c r="VV126" s="20"/>
      <c r="VW126" s="20"/>
      <c r="VX126" s="20"/>
      <c r="VY126" s="20"/>
      <c r="VZ126" s="20"/>
      <c r="WA126" s="20"/>
      <c r="WB126" s="20"/>
      <c r="WC126" s="20"/>
      <c r="WD126" s="20"/>
      <c r="WE126" s="20"/>
      <c r="WF126" s="20"/>
      <c r="WG126" s="20"/>
      <c r="WH126" s="20"/>
      <c r="WI126" s="20"/>
      <c r="WJ126" s="20"/>
      <c r="WK126" s="20"/>
      <c r="WL126" s="20"/>
      <c r="WM126" s="20"/>
      <c r="WN126" s="20"/>
      <c r="WO126" s="20"/>
      <c r="WP126" s="20"/>
      <c r="WQ126" s="20"/>
      <c r="WR126" s="20"/>
      <c r="WS126" s="20"/>
      <c r="WT126" s="20"/>
      <c r="WU126" s="20"/>
      <c r="WV126" s="20"/>
      <c r="WW126" s="20"/>
      <c r="WX126" s="20"/>
      <c r="WY126" s="20"/>
      <c r="WZ126" s="20"/>
      <c r="XA126" s="20"/>
      <c r="XB126" s="20"/>
      <c r="XC126" s="20"/>
      <c r="XD126" s="20"/>
      <c r="XE126" s="20"/>
      <c r="XF126" s="20"/>
      <c r="XG126" s="20"/>
      <c r="XH126" s="20"/>
      <c r="XI126" s="20"/>
      <c r="XJ126" s="20"/>
      <c r="XK126" s="20"/>
      <c r="XL126" s="20"/>
      <c r="XM126" s="20"/>
      <c r="XN126" s="20"/>
      <c r="XO126" s="20"/>
      <c r="XP126" s="20"/>
      <c r="XQ126" s="20"/>
      <c r="XR126" s="20"/>
      <c r="XS126" s="20"/>
      <c r="XT126" s="20"/>
      <c r="XU126" s="20"/>
      <c r="XV126" s="20"/>
      <c r="XW126" s="20"/>
      <c r="XX126" s="20"/>
      <c r="XY126" s="20"/>
      <c r="XZ126" s="20"/>
      <c r="YA126" s="20"/>
      <c r="YB126" s="20"/>
      <c r="YC126" s="20"/>
      <c r="YD126" s="20"/>
      <c r="YE126" s="20"/>
      <c r="YF126" s="20"/>
      <c r="YG126" s="20"/>
      <c r="YH126" s="20"/>
      <c r="YI126" s="20"/>
      <c r="YJ126" s="20"/>
      <c r="YK126" s="20"/>
      <c r="YL126" s="20"/>
      <c r="YM126" s="20"/>
      <c r="YN126" s="20"/>
      <c r="YO126" s="20"/>
      <c r="YP126" s="20"/>
      <c r="YQ126" s="20"/>
      <c r="YR126" s="20"/>
      <c r="YS126" s="20"/>
      <c r="YT126" s="20"/>
      <c r="YU126" s="20"/>
      <c r="YV126" s="20"/>
      <c r="YW126" s="20"/>
      <c r="YX126" s="20"/>
      <c r="YY126" s="20"/>
      <c r="YZ126" s="20"/>
      <c r="ZA126" s="20"/>
      <c r="ZB126" s="20"/>
      <c r="ZC126" s="20"/>
      <c r="ZD126" s="20"/>
      <c r="ZE126" s="20"/>
      <c r="ZF126" s="20"/>
      <c r="ZG126" s="20"/>
      <c r="ZH126" s="20"/>
      <c r="ZI126" s="20"/>
      <c r="ZJ126" s="20"/>
      <c r="ZK126" s="20"/>
      <c r="ZL126" s="20"/>
      <c r="ZM126" s="20"/>
      <c r="ZN126" s="20"/>
      <c r="ZO126" s="20"/>
      <c r="ZP126" s="20"/>
      <c r="ZQ126" s="20"/>
      <c r="ZR126" s="20"/>
      <c r="ZS126" s="20"/>
      <c r="ZT126" s="20"/>
      <c r="ZU126" s="20"/>
      <c r="ZV126" s="20"/>
      <c r="ZW126" s="20"/>
      <c r="ZX126" s="20"/>
      <c r="ZY126" s="20"/>
      <c r="ZZ126" s="20"/>
      <c r="AAA126" s="20"/>
      <c r="AAB126" s="20"/>
      <c r="AAC126" s="20"/>
      <c r="AAD126" s="20"/>
      <c r="AAE126" s="20"/>
      <c r="AAF126" s="20"/>
      <c r="AAG126" s="20"/>
      <c r="AAH126" s="20"/>
      <c r="AAI126" s="20"/>
      <c r="AAJ126" s="20"/>
      <c r="AAK126" s="20"/>
      <c r="AAL126" s="20"/>
      <c r="AAM126" s="20"/>
      <c r="AAN126" s="20"/>
      <c r="AAO126" s="20"/>
      <c r="AAP126" s="20"/>
      <c r="AAQ126" s="20"/>
      <c r="AAR126" s="20"/>
      <c r="AAS126" s="20"/>
      <c r="AAT126" s="20"/>
      <c r="AAU126" s="20"/>
      <c r="AAV126" s="20"/>
      <c r="AAW126" s="20"/>
      <c r="AAX126" s="20"/>
      <c r="AAY126" s="20"/>
      <c r="AAZ126" s="20"/>
      <c r="ABA126" s="20"/>
      <c r="ABB126" s="20"/>
      <c r="ABC126" s="20"/>
      <c r="ABD126" s="20"/>
      <c r="ABE126" s="20"/>
      <c r="ABF126" s="20"/>
      <c r="ABG126" s="20"/>
      <c r="ABH126" s="20"/>
      <c r="ABI126" s="20"/>
      <c r="ABJ126" s="20"/>
      <c r="ABK126" s="20"/>
      <c r="ABL126" s="20"/>
      <c r="ABM126" s="20"/>
      <c r="ABN126" s="20"/>
      <c r="ABO126" s="20"/>
      <c r="ABP126" s="20"/>
      <c r="ABQ126" s="20"/>
      <c r="ABR126" s="20"/>
      <c r="ABS126" s="20"/>
      <c r="ABT126" s="20"/>
      <c r="ABU126" s="20"/>
      <c r="ABV126" s="20"/>
      <c r="ABW126" s="20"/>
      <c r="ABX126" s="20"/>
      <c r="ABY126" s="20"/>
      <c r="ABZ126" s="20"/>
      <c r="ACA126" s="20"/>
      <c r="ACB126" s="20"/>
      <c r="ACC126" s="20"/>
      <c r="ACD126" s="20"/>
      <c r="ACE126" s="20"/>
      <c r="ACF126" s="20"/>
      <c r="ACG126" s="20"/>
      <c r="ACH126" s="20"/>
      <c r="ACI126" s="20"/>
      <c r="ACJ126" s="20"/>
      <c r="ACK126" s="20"/>
      <c r="ACL126" s="20"/>
      <c r="ACM126" s="20"/>
      <c r="ACN126" s="20"/>
      <c r="ACO126" s="20"/>
      <c r="ACP126" s="20"/>
      <c r="ACQ126" s="20"/>
    </row>
    <row r="127" spans="1:771" s="62" customFormat="1" ht="204" customHeight="1">
      <c r="A127" s="20"/>
      <c r="B127" s="63" t="s">
        <v>557</v>
      </c>
      <c r="C127" s="96"/>
      <c r="D127" s="63" t="s">
        <v>558</v>
      </c>
      <c r="E127" s="96"/>
      <c r="F127" s="63" t="s">
        <v>254</v>
      </c>
      <c r="G127" s="96"/>
      <c r="H127" s="63" t="s">
        <v>364</v>
      </c>
      <c r="I127" s="96"/>
      <c r="J127" s="63" t="s">
        <v>365</v>
      </c>
      <c r="K127" s="96"/>
      <c r="L127" s="61" t="s">
        <v>74</v>
      </c>
      <c r="M127" s="96"/>
      <c r="N127" s="63" t="s">
        <v>103</v>
      </c>
      <c r="O127" s="96"/>
      <c r="P127" s="63" t="s">
        <v>559</v>
      </c>
      <c r="Q127" s="97"/>
      <c r="R127" s="98" t="s">
        <v>560</v>
      </c>
      <c r="S127" s="97"/>
      <c r="T127" s="65" t="s">
        <v>561</v>
      </c>
      <c r="U127" s="99"/>
      <c r="V127" s="100" t="s">
        <v>80</v>
      </c>
      <c r="W127" s="101"/>
      <c r="X127" s="67" t="s">
        <v>80</v>
      </c>
      <c r="Y127" s="68"/>
      <c r="Z127" s="67" t="s">
        <v>80</v>
      </c>
      <c r="AA127" s="68"/>
      <c r="AB127" s="67" t="s">
        <v>80</v>
      </c>
      <c r="AD127" s="102" t="s">
        <v>562</v>
      </c>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c r="IW127" s="20"/>
      <c r="IX127" s="20"/>
      <c r="IY127" s="20"/>
      <c r="IZ127" s="20"/>
      <c r="JA127" s="20"/>
      <c r="JB127" s="20"/>
      <c r="JC127" s="20"/>
      <c r="JD127" s="20"/>
      <c r="JE127" s="20"/>
      <c r="JF127" s="20"/>
      <c r="JG127" s="20"/>
      <c r="JH127" s="20"/>
      <c r="JI127" s="20"/>
      <c r="JJ127" s="20"/>
      <c r="JK127" s="20"/>
      <c r="JL127" s="20"/>
      <c r="JM127" s="20"/>
      <c r="JN127" s="20"/>
      <c r="JO127" s="20"/>
      <c r="JP127" s="20"/>
      <c r="JQ127" s="20"/>
      <c r="JR127" s="20"/>
      <c r="JS127" s="20"/>
      <c r="JT127" s="20"/>
      <c r="JU127" s="20"/>
      <c r="JV127" s="20"/>
      <c r="JW127" s="20"/>
      <c r="JX127" s="20"/>
      <c r="JY127" s="20"/>
      <c r="JZ127" s="20"/>
      <c r="KA127" s="20"/>
      <c r="KB127" s="20"/>
      <c r="KC127" s="20"/>
      <c r="KD127" s="20"/>
      <c r="KE127" s="20"/>
      <c r="KF127" s="20"/>
      <c r="KG127" s="20"/>
      <c r="KH127" s="20"/>
      <c r="KI127" s="20"/>
      <c r="KJ127" s="20"/>
      <c r="KK127" s="20"/>
      <c r="KL127" s="20"/>
      <c r="KM127" s="20"/>
      <c r="KN127" s="20"/>
      <c r="KO127" s="20"/>
      <c r="KP127" s="20"/>
      <c r="KQ127" s="20"/>
      <c r="KR127" s="20"/>
      <c r="KS127" s="20"/>
      <c r="KT127" s="20"/>
      <c r="KU127" s="20"/>
      <c r="KV127" s="20"/>
      <c r="KW127" s="20"/>
      <c r="KX127" s="20"/>
      <c r="KY127" s="20"/>
      <c r="KZ127" s="20"/>
      <c r="LA127" s="20"/>
      <c r="LB127" s="20"/>
      <c r="LC127" s="20"/>
      <c r="LD127" s="20"/>
      <c r="LE127" s="20"/>
      <c r="LF127" s="20"/>
      <c r="LG127" s="20"/>
      <c r="LH127" s="20"/>
      <c r="LI127" s="20"/>
      <c r="LJ127" s="20"/>
      <c r="LK127" s="20"/>
      <c r="LL127" s="20"/>
      <c r="LM127" s="20"/>
      <c r="LN127" s="20"/>
      <c r="LO127" s="20"/>
      <c r="LP127" s="20"/>
      <c r="LQ127" s="20"/>
      <c r="LR127" s="20"/>
      <c r="LS127" s="20"/>
      <c r="LT127" s="20"/>
      <c r="LU127" s="20"/>
      <c r="LV127" s="20"/>
      <c r="LW127" s="20"/>
      <c r="LX127" s="20"/>
      <c r="LY127" s="20"/>
      <c r="LZ127" s="20"/>
      <c r="MA127" s="20"/>
      <c r="MB127" s="20"/>
      <c r="MC127" s="20"/>
      <c r="MD127" s="20"/>
      <c r="ME127" s="20"/>
      <c r="MF127" s="20"/>
      <c r="MG127" s="20"/>
      <c r="MH127" s="20"/>
      <c r="MI127" s="20"/>
      <c r="MJ127" s="20"/>
      <c r="MK127" s="20"/>
      <c r="ML127" s="20"/>
      <c r="MM127" s="20"/>
      <c r="MN127" s="20"/>
      <c r="MO127" s="20"/>
      <c r="MP127" s="20"/>
      <c r="MQ127" s="20"/>
      <c r="MR127" s="20"/>
      <c r="MS127" s="20"/>
      <c r="MT127" s="20"/>
      <c r="MU127" s="20"/>
      <c r="MV127" s="20"/>
      <c r="MW127" s="20"/>
      <c r="MX127" s="20"/>
      <c r="MY127" s="20"/>
      <c r="MZ127" s="20"/>
      <c r="NA127" s="20"/>
      <c r="NB127" s="20"/>
      <c r="NC127" s="20"/>
      <c r="ND127" s="20"/>
      <c r="NE127" s="20"/>
      <c r="NF127" s="20"/>
      <c r="NG127" s="20"/>
      <c r="NH127" s="20"/>
      <c r="NI127" s="20"/>
      <c r="NJ127" s="20"/>
      <c r="NK127" s="20"/>
      <c r="NL127" s="20"/>
      <c r="NM127" s="20"/>
      <c r="NN127" s="20"/>
      <c r="NO127" s="20"/>
      <c r="NP127" s="20"/>
      <c r="NQ127" s="20"/>
      <c r="NR127" s="20"/>
      <c r="NS127" s="20"/>
      <c r="NT127" s="20"/>
      <c r="NU127" s="20"/>
      <c r="NV127" s="20"/>
      <c r="NW127" s="20"/>
      <c r="NX127" s="20"/>
      <c r="NY127" s="20"/>
      <c r="NZ127" s="20"/>
      <c r="OA127" s="20"/>
      <c r="OB127" s="20"/>
      <c r="OC127" s="20"/>
      <c r="OD127" s="20"/>
      <c r="OE127" s="20"/>
      <c r="OF127" s="20"/>
      <c r="OG127" s="20"/>
      <c r="OH127" s="20"/>
      <c r="OI127" s="20"/>
      <c r="OJ127" s="20"/>
      <c r="OK127" s="20"/>
      <c r="OL127" s="20"/>
      <c r="OM127" s="20"/>
      <c r="ON127" s="20"/>
      <c r="OO127" s="20"/>
      <c r="OP127" s="20"/>
      <c r="OQ127" s="20"/>
      <c r="OR127" s="20"/>
      <c r="OS127" s="20"/>
      <c r="OT127" s="20"/>
      <c r="OU127" s="20"/>
      <c r="OV127" s="20"/>
      <c r="OW127" s="20"/>
      <c r="OX127" s="20"/>
      <c r="OY127" s="20"/>
      <c r="OZ127" s="20"/>
      <c r="PA127" s="20"/>
      <c r="PB127" s="20"/>
      <c r="PC127" s="20"/>
      <c r="PD127" s="20"/>
      <c r="PE127" s="20"/>
      <c r="PF127" s="20"/>
      <c r="PG127" s="20"/>
      <c r="PH127" s="20"/>
      <c r="PI127" s="20"/>
      <c r="PJ127" s="20"/>
      <c r="PK127" s="20"/>
      <c r="PL127" s="20"/>
      <c r="PM127" s="20"/>
      <c r="PN127" s="20"/>
      <c r="PO127" s="20"/>
      <c r="PP127" s="20"/>
      <c r="PQ127" s="20"/>
      <c r="PR127" s="20"/>
      <c r="PS127" s="20"/>
      <c r="PT127" s="20"/>
      <c r="PU127" s="20"/>
      <c r="PV127" s="20"/>
      <c r="PW127" s="20"/>
      <c r="PX127" s="20"/>
      <c r="PY127" s="20"/>
      <c r="PZ127" s="20"/>
      <c r="QA127" s="20"/>
      <c r="QB127" s="20"/>
      <c r="QC127" s="20"/>
      <c r="QD127" s="20"/>
      <c r="QE127" s="20"/>
      <c r="QF127" s="20"/>
      <c r="QG127" s="20"/>
      <c r="QH127" s="20"/>
      <c r="QI127" s="20"/>
      <c r="QJ127" s="20"/>
      <c r="QK127" s="20"/>
      <c r="QL127" s="20"/>
      <c r="QM127" s="20"/>
      <c r="QN127" s="20"/>
      <c r="QO127" s="20"/>
      <c r="QP127" s="20"/>
      <c r="QQ127" s="20"/>
      <c r="QR127" s="20"/>
      <c r="QS127" s="20"/>
      <c r="QT127" s="20"/>
      <c r="QU127" s="20"/>
      <c r="QV127" s="20"/>
      <c r="QW127" s="20"/>
      <c r="QX127" s="20"/>
      <c r="QY127" s="20"/>
      <c r="QZ127" s="20"/>
      <c r="RA127" s="20"/>
      <c r="RB127" s="20"/>
      <c r="RC127" s="20"/>
      <c r="RD127" s="20"/>
      <c r="RE127" s="20"/>
      <c r="RF127" s="20"/>
      <c r="RG127" s="20"/>
      <c r="RH127" s="20"/>
      <c r="RI127" s="20"/>
      <c r="RJ127" s="20"/>
      <c r="RK127" s="20"/>
      <c r="RL127" s="20"/>
      <c r="RM127" s="20"/>
      <c r="RN127" s="20"/>
      <c r="RO127" s="20"/>
      <c r="RP127" s="20"/>
      <c r="RQ127" s="20"/>
      <c r="RR127" s="20"/>
      <c r="RS127" s="20"/>
      <c r="RT127" s="20"/>
      <c r="RU127" s="20"/>
      <c r="RV127" s="20"/>
      <c r="RW127" s="20"/>
      <c r="RX127" s="20"/>
      <c r="RY127" s="20"/>
      <c r="RZ127" s="20"/>
      <c r="SA127" s="20"/>
      <c r="SB127" s="20"/>
      <c r="SC127" s="20"/>
      <c r="SD127" s="20"/>
      <c r="SE127" s="20"/>
      <c r="SF127" s="20"/>
      <c r="SG127" s="20"/>
      <c r="SH127" s="20"/>
      <c r="SI127" s="20"/>
      <c r="SJ127" s="20"/>
      <c r="SK127" s="20"/>
      <c r="SL127" s="20"/>
      <c r="SM127" s="20"/>
      <c r="SN127" s="20"/>
      <c r="SO127" s="20"/>
      <c r="SP127" s="20"/>
      <c r="SQ127" s="20"/>
      <c r="SR127" s="20"/>
      <c r="SS127" s="20"/>
      <c r="ST127" s="20"/>
      <c r="SU127" s="20"/>
      <c r="SV127" s="20"/>
      <c r="SW127" s="20"/>
      <c r="SX127" s="20"/>
      <c r="SY127" s="20"/>
      <c r="SZ127" s="20"/>
      <c r="TA127" s="20"/>
      <c r="TB127" s="20"/>
      <c r="TC127" s="20"/>
      <c r="TD127" s="20"/>
      <c r="TE127" s="20"/>
      <c r="TF127" s="20"/>
      <c r="TG127" s="20"/>
      <c r="TH127" s="20"/>
      <c r="TI127" s="20"/>
      <c r="TJ127" s="20"/>
      <c r="TK127" s="20"/>
      <c r="TL127" s="20"/>
      <c r="TM127" s="20"/>
      <c r="TN127" s="20"/>
      <c r="TO127" s="20"/>
      <c r="TP127" s="20"/>
      <c r="TQ127" s="20"/>
      <c r="TR127" s="20"/>
      <c r="TS127" s="20"/>
      <c r="TT127" s="20"/>
      <c r="TU127" s="20"/>
      <c r="TV127" s="20"/>
      <c r="TW127" s="20"/>
      <c r="TX127" s="20"/>
      <c r="TY127" s="20"/>
      <c r="TZ127" s="20"/>
      <c r="UA127" s="20"/>
      <c r="UB127" s="20"/>
      <c r="UC127" s="20"/>
      <c r="UD127" s="20"/>
      <c r="UE127" s="20"/>
      <c r="UF127" s="20"/>
      <c r="UG127" s="20"/>
      <c r="UH127" s="20"/>
      <c r="UI127" s="20"/>
      <c r="UJ127" s="20"/>
      <c r="UK127" s="20"/>
      <c r="UL127" s="20"/>
      <c r="UM127" s="20"/>
      <c r="UN127" s="20"/>
      <c r="UO127" s="20"/>
      <c r="UP127" s="20"/>
      <c r="UQ127" s="20"/>
      <c r="UR127" s="20"/>
      <c r="US127" s="20"/>
      <c r="UT127" s="20"/>
      <c r="UU127" s="20"/>
      <c r="UV127" s="20"/>
      <c r="UW127" s="20"/>
      <c r="UX127" s="20"/>
      <c r="UY127" s="20"/>
      <c r="UZ127" s="20"/>
      <c r="VA127" s="20"/>
      <c r="VB127" s="20"/>
      <c r="VC127" s="20"/>
      <c r="VD127" s="20"/>
      <c r="VE127" s="20"/>
      <c r="VF127" s="20"/>
      <c r="VG127" s="20"/>
      <c r="VH127" s="20"/>
      <c r="VI127" s="20"/>
      <c r="VJ127" s="20"/>
      <c r="VK127" s="20"/>
      <c r="VL127" s="20"/>
      <c r="VM127" s="20"/>
      <c r="VN127" s="20"/>
      <c r="VO127" s="20"/>
      <c r="VP127" s="20"/>
      <c r="VQ127" s="20"/>
      <c r="VR127" s="20"/>
      <c r="VS127" s="20"/>
      <c r="VT127" s="20"/>
      <c r="VU127" s="20"/>
      <c r="VV127" s="20"/>
      <c r="VW127" s="20"/>
      <c r="VX127" s="20"/>
      <c r="VY127" s="20"/>
      <c r="VZ127" s="20"/>
      <c r="WA127" s="20"/>
      <c r="WB127" s="20"/>
      <c r="WC127" s="20"/>
      <c r="WD127" s="20"/>
      <c r="WE127" s="20"/>
      <c r="WF127" s="20"/>
      <c r="WG127" s="20"/>
      <c r="WH127" s="20"/>
      <c r="WI127" s="20"/>
      <c r="WJ127" s="20"/>
      <c r="WK127" s="20"/>
      <c r="WL127" s="20"/>
      <c r="WM127" s="20"/>
      <c r="WN127" s="20"/>
      <c r="WO127" s="20"/>
      <c r="WP127" s="20"/>
      <c r="WQ127" s="20"/>
      <c r="WR127" s="20"/>
      <c r="WS127" s="20"/>
      <c r="WT127" s="20"/>
      <c r="WU127" s="20"/>
      <c r="WV127" s="20"/>
      <c r="WW127" s="20"/>
      <c r="WX127" s="20"/>
      <c r="WY127" s="20"/>
      <c r="WZ127" s="20"/>
      <c r="XA127" s="20"/>
      <c r="XB127" s="20"/>
      <c r="XC127" s="20"/>
      <c r="XD127" s="20"/>
      <c r="XE127" s="20"/>
      <c r="XF127" s="20"/>
      <c r="XG127" s="20"/>
      <c r="XH127" s="20"/>
      <c r="XI127" s="20"/>
      <c r="XJ127" s="20"/>
      <c r="XK127" s="20"/>
      <c r="XL127" s="20"/>
      <c r="XM127" s="20"/>
      <c r="XN127" s="20"/>
      <c r="XO127" s="20"/>
      <c r="XP127" s="20"/>
      <c r="XQ127" s="20"/>
      <c r="XR127" s="20"/>
      <c r="XS127" s="20"/>
      <c r="XT127" s="20"/>
      <c r="XU127" s="20"/>
      <c r="XV127" s="20"/>
      <c r="XW127" s="20"/>
      <c r="XX127" s="20"/>
      <c r="XY127" s="20"/>
      <c r="XZ127" s="20"/>
      <c r="YA127" s="20"/>
      <c r="YB127" s="20"/>
      <c r="YC127" s="20"/>
      <c r="YD127" s="20"/>
      <c r="YE127" s="20"/>
      <c r="YF127" s="20"/>
      <c r="YG127" s="20"/>
      <c r="YH127" s="20"/>
      <c r="YI127" s="20"/>
      <c r="YJ127" s="20"/>
      <c r="YK127" s="20"/>
      <c r="YL127" s="20"/>
      <c r="YM127" s="20"/>
      <c r="YN127" s="20"/>
      <c r="YO127" s="20"/>
      <c r="YP127" s="20"/>
      <c r="YQ127" s="20"/>
      <c r="YR127" s="20"/>
      <c r="YS127" s="20"/>
      <c r="YT127" s="20"/>
      <c r="YU127" s="20"/>
      <c r="YV127" s="20"/>
      <c r="YW127" s="20"/>
      <c r="YX127" s="20"/>
      <c r="YY127" s="20"/>
      <c r="YZ127" s="20"/>
      <c r="ZA127" s="20"/>
      <c r="ZB127" s="20"/>
      <c r="ZC127" s="20"/>
      <c r="ZD127" s="20"/>
      <c r="ZE127" s="20"/>
      <c r="ZF127" s="20"/>
      <c r="ZG127" s="20"/>
      <c r="ZH127" s="20"/>
      <c r="ZI127" s="20"/>
      <c r="ZJ127" s="20"/>
      <c r="ZK127" s="20"/>
      <c r="ZL127" s="20"/>
      <c r="ZM127" s="20"/>
      <c r="ZN127" s="20"/>
      <c r="ZO127" s="20"/>
      <c r="ZP127" s="20"/>
      <c r="ZQ127" s="20"/>
      <c r="ZR127" s="20"/>
      <c r="ZS127" s="20"/>
      <c r="ZT127" s="20"/>
      <c r="ZU127" s="20"/>
      <c r="ZV127" s="20"/>
      <c r="ZW127" s="20"/>
      <c r="ZX127" s="20"/>
      <c r="ZY127" s="20"/>
      <c r="ZZ127" s="20"/>
      <c r="AAA127" s="20"/>
      <c r="AAB127" s="20"/>
      <c r="AAC127" s="20"/>
      <c r="AAD127" s="20"/>
      <c r="AAE127" s="20"/>
      <c r="AAF127" s="20"/>
      <c r="AAG127" s="20"/>
      <c r="AAH127" s="20"/>
      <c r="AAI127" s="20"/>
      <c r="AAJ127" s="20"/>
      <c r="AAK127" s="20"/>
      <c r="AAL127" s="20"/>
      <c r="AAM127" s="20"/>
      <c r="AAN127" s="20"/>
      <c r="AAO127" s="20"/>
      <c r="AAP127" s="20"/>
      <c r="AAQ127" s="20"/>
      <c r="AAR127" s="20"/>
      <c r="AAS127" s="20"/>
      <c r="AAT127" s="20"/>
      <c r="AAU127" s="20"/>
      <c r="AAV127" s="20"/>
      <c r="AAW127" s="20"/>
      <c r="AAX127" s="20"/>
      <c r="AAY127" s="20"/>
      <c r="AAZ127" s="20"/>
      <c r="ABA127" s="20"/>
      <c r="ABB127" s="20"/>
      <c r="ABC127" s="20"/>
      <c r="ABD127" s="20"/>
      <c r="ABE127" s="20"/>
      <c r="ABF127" s="20"/>
      <c r="ABG127" s="20"/>
      <c r="ABH127" s="20"/>
      <c r="ABI127" s="20"/>
      <c r="ABJ127" s="20"/>
      <c r="ABK127" s="20"/>
      <c r="ABL127" s="20"/>
      <c r="ABM127" s="20"/>
      <c r="ABN127" s="20"/>
      <c r="ABO127" s="20"/>
      <c r="ABP127" s="20"/>
      <c r="ABQ127" s="20"/>
      <c r="ABR127" s="20"/>
      <c r="ABS127" s="20"/>
      <c r="ABT127" s="20"/>
      <c r="ABU127" s="20"/>
      <c r="ABV127" s="20"/>
      <c r="ABW127" s="20"/>
      <c r="ABX127" s="20"/>
      <c r="ABY127" s="20"/>
      <c r="ABZ127" s="20"/>
      <c r="ACA127" s="20"/>
      <c r="ACB127" s="20"/>
      <c r="ACC127" s="20"/>
      <c r="ACD127" s="20"/>
      <c r="ACE127" s="20"/>
      <c r="ACF127" s="20"/>
      <c r="ACG127" s="20"/>
      <c r="ACH127" s="20"/>
      <c r="ACI127" s="20"/>
      <c r="ACJ127" s="20"/>
      <c r="ACK127" s="20"/>
      <c r="ACL127" s="20"/>
      <c r="ACM127" s="20"/>
      <c r="ACN127" s="20"/>
      <c r="ACO127" s="20"/>
      <c r="ACP127" s="20"/>
      <c r="ACQ127" s="20"/>
    </row>
    <row r="128" spans="1:771" s="62" customFormat="1" ht="170.1">
      <c r="A128" s="20"/>
      <c r="B128" s="63" t="s">
        <v>563</v>
      </c>
      <c r="C128" s="96"/>
      <c r="D128" s="63" t="s">
        <v>564</v>
      </c>
      <c r="E128" s="96"/>
      <c r="F128" s="63" t="s">
        <v>254</v>
      </c>
      <c r="G128" s="96"/>
      <c r="H128" s="63" t="s">
        <v>72</v>
      </c>
      <c r="I128" s="96"/>
      <c r="J128" s="63" t="s">
        <v>365</v>
      </c>
      <c r="K128" s="96"/>
      <c r="L128" s="61" t="s">
        <v>74</v>
      </c>
      <c r="M128" s="96"/>
      <c r="N128" s="63" t="s">
        <v>103</v>
      </c>
      <c r="O128" s="96"/>
      <c r="P128" s="63" t="s">
        <v>565</v>
      </c>
      <c r="Q128" s="69"/>
      <c r="R128" s="61" t="s">
        <v>77</v>
      </c>
      <c r="S128" s="69"/>
      <c r="T128" s="65" t="s">
        <v>566</v>
      </c>
      <c r="U128" s="66"/>
      <c r="V128" s="100" t="s">
        <v>80</v>
      </c>
      <c r="W128" s="101"/>
      <c r="X128" s="67" t="s">
        <v>80</v>
      </c>
      <c r="Y128" s="68"/>
      <c r="Z128" s="67" t="s">
        <v>80</v>
      </c>
      <c r="AA128" s="68"/>
      <c r="AB128" s="67" t="s">
        <v>80</v>
      </c>
      <c r="AD128" s="102" t="s">
        <v>562</v>
      </c>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c r="IW128" s="20"/>
      <c r="IX128" s="20"/>
      <c r="IY128" s="20"/>
      <c r="IZ128" s="20"/>
      <c r="JA128" s="20"/>
      <c r="JB128" s="20"/>
      <c r="JC128" s="20"/>
      <c r="JD128" s="20"/>
      <c r="JE128" s="20"/>
      <c r="JF128" s="20"/>
      <c r="JG128" s="20"/>
      <c r="JH128" s="20"/>
      <c r="JI128" s="20"/>
      <c r="JJ128" s="20"/>
      <c r="JK128" s="20"/>
      <c r="JL128" s="20"/>
      <c r="JM128" s="20"/>
      <c r="JN128" s="20"/>
      <c r="JO128" s="20"/>
      <c r="JP128" s="20"/>
      <c r="JQ128" s="20"/>
      <c r="JR128" s="20"/>
      <c r="JS128" s="20"/>
      <c r="JT128" s="20"/>
      <c r="JU128" s="20"/>
      <c r="JV128" s="20"/>
      <c r="JW128" s="20"/>
      <c r="JX128" s="20"/>
      <c r="JY128" s="20"/>
      <c r="JZ128" s="20"/>
      <c r="KA128" s="20"/>
      <c r="KB128" s="20"/>
      <c r="KC128" s="20"/>
      <c r="KD128" s="20"/>
      <c r="KE128" s="20"/>
      <c r="KF128" s="20"/>
      <c r="KG128" s="20"/>
      <c r="KH128" s="20"/>
      <c r="KI128" s="20"/>
      <c r="KJ128" s="20"/>
      <c r="KK128" s="20"/>
      <c r="KL128" s="20"/>
      <c r="KM128" s="20"/>
      <c r="KN128" s="20"/>
      <c r="KO128" s="20"/>
      <c r="KP128" s="20"/>
      <c r="KQ128" s="20"/>
      <c r="KR128" s="20"/>
      <c r="KS128" s="20"/>
      <c r="KT128" s="20"/>
      <c r="KU128" s="20"/>
      <c r="KV128" s="20"/>
      <c r="KW128" s="20"/>
      <c r="KX128" s="20"/>
      <c r="KY128" s="20"/>
      <c r="KZ128" s="20"/>
      <c r="LA128" s="20"/>
      <c r="LB128" s="20"/>
      <c r="LC128" s="20"/>
      <c r="LD128" s="20"/>
      <c r="LE128" s="20"/>
      <c r="LF128" s="20"/>
      <c r="LG128" s="20"/>
      <c r="LH128" s="20"/>
      <c r="LI128" s="20"/>
      <c r="LJ128" s="20"/>
      <c r="LK128" s="20"/>
      <c r="LL128" s="20"/>
      <c r="LM128" s="20"/>
      <c r="LN128" s="20"/>
      <c r="LO128" s="20"/>
      <c r="LP128" s="20"/>
      <c r="LQ128" s="20"/>
      <c r="LR128" s="20"/>
      <c r="LS128" s="20"/>
      <c r="LT128" s="20"/>
      <c r="LU128" s="20"/>
      <c r="LV128" s="20"/>
      <c r="LW128" s="20"/>
      <c r="LX128" s="20"/>
      <c r="LY128" s="20"/>
      <c r="LZ128" s="20"/>
      <c r="MA128" s="20"/>
      <c r="MB128" s="20"/>
      <c r="MC128" s="20"/>
      <c r="MD128" s="20"/>
      <c r="ME128" s="20"/>
      <c r="MF128" s="20"/>
      <c r="MG128" s="20"/>
      <c r="MH128" s="20"/>
      <c r="MI128" s="20"/>
      <c r="MJ128" s="20"/>
      <c r="MK128" s="20"/>
      <c r="ML128" s="20"/>
      <c r="MM128" s="20"/>
      <c r="MN128" s="20"/>
      <c r="MO128" s="20"/>
      <c r="MP128" s="20"/>
      <c r="MQ128" s="20"/>
      <c r="MR128" s="20"/>
      <c r="MS128" s="20"/>
      <c r="MT128" s="20"/>
      <c r="MU128" s="20"/>
      <c r="MV128" s="20"/>
      <c r="MW128" s="20"/>
      <c r="MX128" s="20"/>
      <c r="MY128" s="20"/>
      <c r="MZ128" s="20"/>
      <c r="NA128" s="20"/>
      <c r="NB128" s="20"/>
      <c r="NC128" s="20"/>
      <c r="ND128" s="20"/>
      <c r="NE128" s="20"/>
      <c r="NF128" s="20"/>
      <c r="NG128" s="20"/>
      <c r="NH128" s="20"/>
      <c r="NI128" s="20"/>
      <c r="NJ128" s="20"/>
      <c r="NK128" s="20"/>
      <c r="NL128" s="20"/>
      <c r="NM128" s="20"/>
      <c r="NN128" s="20"/>
      <c r="NO128" s="20"/>
      <c r="NP128" s="20"/>
      <c r="NQ128" s="20"/>
      <c r="NR128" s="20"/>
      <c r="NS128" s="20"/>
      <c r="NT128" s="20"/>
      <c r="NU128" s="20"/>
      <c r="NV128" s="20"/>
      <c r="NW128" s="20"/>
      <c r="NX128" s="20"/>
      <c r="NY128" s="20"/>
      <c r="NZ128" s="20"/>
      <c r="OA128" s="20"/>
      <c r="OB128" s="20"/>
      <c r="OC128" s="20"/>
      <c r="OD128" s="20"/>
      <c r="OE128" s="20"/>
      <c r="OF128" s="20"/>
      <c r="OG128" s="20"/>
      <c r="OH128" s="20"/>
      <c r="OI128" s="20"/>
      <c r="OJ128" s="20"/>
      <c r="OK128" s="20"/>
      <c r="OL128" s="20"/>
      <c r="OM128" s="20"/>
      <c r="ON128" s="20"/>
      <c r="OO128" s="20"/>
      <c r="OP128" s="20"/>
      <c r="OQ128" s="20"/>
      <c r="OR128" s="20"/>
      <c r="OS128" s="20"/>
      <c r="OT128" s="20"/>
      <c r="OU128" s="20"/>
      <c r="OV128" s="20"/>
      <c r="OW128" s="20"/>
      <c r="OX128" s="20"/>
      <c r="OY128" s="20"/>
      <c r="OZ128" s="20"/>
      <c r="PA128" s="20"/>
      <c r="PB128" s="20"/>
      <c r="PC128" s="20"/>
      <c r="PD128" s="20"/>
      <c r="PE128" s="20"/>
      <c r="PF128" s="20"/>
      <c r="PG128" s="20"/>
      <c r="PH128" s="20"/>
      <c r="PI128" s="20"/>
      <c r="PJ128" s="20"/>
      <c r="PK128" s="20"/>
      <c r="PL128" s="20"/>
      <c r="PM128" s="20"/>
      <c r="PN128" s="20"/>
      <c r="PO128" s="20"/>
      <c r="PP128" s="20"/>
      <c r="PQ128" s="20"/>
      <c r="PR128" s="20"/>
      <c r="PS128" s="20"/>
      <c r="PT128" s="20"/>
      <c r="PU128" s="20"/>
      <c r="PV128" s="20"/>
      <c r="PW128" s="20"/>
      <c r="PX128" s="20"/>
      <c r="PY128" s="20"/>
      <c r="PZ128" s="20"/>
      <c r="QA128" s="20"/>
      <c r="QB128" s="20"/>
      <c r="QC128" s="20"/>
      <c r="QD128" s="20"/>
      <c r="QE128" s="20"/>
      <c r="QF128" s="20"/>
      <c r="QG128" s="20"/>
      <c r="QH128" s="20"/>
      <c r="QI128" s="20"/>
      <c r="QJ128" s="20"/>
      <c r="QK128" s="20"/>
      <c r="QL128" s="20"/>
      <c r="QM128" s="20"/>
      <c r="QN128" s="20"/>
      <c r="QO128" s="20"/>
      <c r="QP128" s="20"/>
      <c r="QQ128" s="20"/>
      <c r="QR128" s="20"/>
      <c r="QS128" s="20"/>
      <c r="QT128" s="20"/>
      <c r="QU128" s="20"/>
      <c r="QV128" s="20"/>
      <c r="QW128" s="20"/>
      <c r="QX128" s="20"/>
      <c r="QY128" s="20"/>
      <c r="QZ128" s="20"/>
      <c r="RA128" s="20"/>
      <c r="RB128" s="20"/>
      <c r="RC128" s="20"/>
      <c r="RD128" s="20"/>
      <c r="RE128" s="20"/>
      <c r="RF128" s="20"/>
      <c r="RG128" s="20"/>
      <c r="RH128" s="20"/>
      <c r="RI128" s="20"/>
      <c r="RJ128" s="20"/>
      <c r="RK128" s="20"/>
      <c r="RL128" s="20"/>
      <c r="RM128" s="20"/>
      <c r="RN128" s="20"/>
      <c r="RO128" s="20"/>
      <c r="RP128" s="20"/>
      <c r="RQ128" s="20"/>
      <c r="RR128" s="20"/>
      <c r="RS128" s="20"/>
      <c r="RT128" s="20"/>
      <c r="RU128" s="20"/>
      <c r="RV128" s="20"/>
      <c r="RW128" s="20"/>
      <c r="RX128" s="20"/>
      <c r="RY128" s="20"/>
      <c r="RZ128" s="20"/>
      <c r="SA128" s="20"/>
      <c r="SB128" s="20"/>
      <c r="SC128" s="20"/>
      <c r="SD128" s="20"/>
      <c r="SE128" s="20"/>
      <c r="SF128" s="20"/>
      <c r="SG128" s="20"/>
      <c r="SH128" s="20"/>
      <c r="SI128" s="20"/>
      <c r="SJ128" s="20"/>
      <c r="SK128" s="20"/>
      <c r="SL128" s="20"/>
      <c r="SM128" s="20"/>
      <c r="SN128" s="20"/>
      <c r="SO128" s="20"/>
      <c r="SP128" s="20"/>
      <c r="SQ128" s="20"/>
      <c r="SR128" s="20"/>
      <c r="SS128" s="20"/>
      <c r="ST128" s="20"/>
      <c r="SU128" s="20"/>
      <c r="SV128" s="20"/>
      <c r="SW128" s="20"/>
      <c r="SX128" s="20"/>
      <c r="SY128" s="20"/>
      <c r="SZ128" s="20"/>
      <c r="TA128" s="20"/>
      <c r="TB128" s="20"/>
      <c r="TC128" s="20"/>
      <c r="TD128" s="20"/>
      <c r="TE128" s="20"/>
      <c r="TF128" s="20"/>
      <c r="TG128" s="20"/>
      <c r="TH128" s="20"/>
      <c r="TI128" s="20"/>
      <c r="TJ128" s="20"/>
      <c r="TK128" s="20"/>
      <c r="TL128" s="20"/>
      <c r="TM128" s="20"/>
      <c r="TN128" s="20"/>
      <c r="TO128" s="20"/>
      <c r="TP128" s="20"/>
      <c r="TQ128" s="20"/>
      <c r="TR128" s="20"/>
      <c r="TS128" s="20"/>
      <c r="TT128" s="20"/>
      <c r="TU128" s="20"/>
      <c r="TV128" s="20"/>
      <c r="TW128" s="20"/>
      <c r="TX128" s="20"/>
      <c r="TY128" s="20"/>
      <c r="TZ128" s="20"/>
      <c r="UA128" s="20"/>
      <c r="UB128" s="20"/>
      <c r="UC128" s="20"/>
      <c r="UD128" s="20"/>
      <c r="UE128" s="20"/>
      <c r="UF128" s="20"/>
      <c r="UG128" s="20"/>
      <c r="UH128" s="20"/>
      <c r="UI128" s="20"/>
      <c r="UJ128" s="20"/>
      <c r="UK128" s="20"/>
      <c r="UL128" s="20"/>
      <c r="UM128" s="20"/>
      <c r="UN128" s="20"/>
      <c r="UO128" s="20"/>
      <c r="UP128" s="20"/>
      <c r="UQ128" s="20"/>
      <c r="UR128" s="20"/>
      <c r="US128" s="20"/>
      <c r="UT128" s="20"/>
      <c r="UU128" s="20"/>
      <c r="UV128" s="20"/>
      <c r="UW128" s="20"/>
      <c r="UX128" s="20"/>
      <c r="UY128" s="20"/>
      <c r="UZ128" s="20"/>
      <c r="VA128" s="20"/>
      <c r="VB128" s="20"/>
      <c r="VC128" s="20"/>
      <c r="VD128" s="20"/>
      <c r="VE128" s="20"/>
      <c r="VF128" s="20"/>
      <c r="VG128" s="20"/>
      <c r="VH128" s="20"/>
      <c r="VI128" s="20"/>
      <c r="VJ128" s="20"/>
      <c r="VK128" s="20"/>
      <c r="VL128" s="20"/>
      <c r="VM128" s="20"/>
      <c r="VN128" s="20"/>
      <c r="VO128" s="20"/>
      <c r="VP128" s="20"/>
      <c r="VQ128" s="20"/>
      <c r="VR128" s="20"/>
      <c r="VS128" s="20"/>
      <c r="VT128" s="20"/>
      <c r="VU128" s="20"/>
      <c r="VV128" s="20"/>
      <c r="VW128" s="20"/>
      <c r="VX128" s="20"/>
      <c r="VY128" s="20"/>
      <c r="VZ128" s="20"/>
      <c r="WA128" s="20"/>
      <c r="WB128" s="20"/>
      <c r="WC128" s="20"/>
      <c r="WD128" s="20"/>
      <c r="WE128" s="20"/>
      <c r="WF128" s="20"/>
      <c r="WG128" s="20"/>
      <c r="WH128" s="20"/>
      <c r="WI128" s="20"/>
      <c r="WJ128" s="20"/>
      <c r="WK128" s="20"/>
      <c r="WL128" s="20"/>
      <c r="WM128" s="20"/>
      <c r="WN128" s="20"/>
      <c r="WO128" s="20"/>
      <c r="WP128" s="20"/>
      <c r="WQ128" s="20"/>
      <c r="WR128" s="20"/>
      <c r="WS128" s="20"/>
      <c r="WT128" s="20"/>
      <c r="WU128" s="20"/>
      <c r="WV128" s="20"/>
      <c r="WW128" s="20"/>
      <c r="WX128" s="20"/>
      <c r="WY128" s="20"/>
      <c r="WZ128" s="20"/>
      <c r="XA128" s="20"/>
      <c r="XB128" s="20"/>
      <c r="XC128" s="20"/>
      <c r="XD128" s="20"/>
      <c r="XE128" s="20"/>
      <c r="XF128" s="20"/>
      <c r="XG128" s="20"/>
      <c r="XH128" s="20"/>
      <c r="XI128" s="20"/>
      <c r="XJ128" s="20"/>
      <c r="XK128" s="20"/>
      <c r="XL128" s="20"/>
      <c r="XM128" s="20"/>
      <c r="XN128" s="20"/>
      <c r="XO128" s="20"/>
      <c r="XP128" s="20"/>
      <c r="XQ128" s="20"/>
      <c r="XR128" s="20"/>
      <c r="XS128" s="20"/>
      <c r="XT128" s="20"/>
      <c r="XU128" s="20"/>
      <c r="XV128" s="20"/>
      <c r="XW128" s="20"/>
      <c r="XX128" s="20"/>
      <c r="XY128" s="20"/>
      <c r="XZ128" s="20"/>
      <c r="YA128" s="20"/>
      <c r="YB128" s="20"/>
      <c r="YC128" s="20"/>
      <c r="YD128" s="20"/>
      <c r="YE128" s="20"/>
      <c r="YF128" s="20"/>
      <c r="YG128" s="20"/>
      <c r="YH128" s="20"/>
      <c r="YI128" s="20"/>
      <c r="YJ128" s="20"/>
      <c r="YK128" s="20"/>
      <c r="YL128" s="20"/>
      <c r="YM128" s="20"/>
      <c r="YN128" s="20"/>
      <c r="YO128" s="20"/>
      <c r="YP128" s="20"/>
      <c r="YQ128" s="20"/>
      <c r="YR128" s="20"/>
      <c r="YS128" s="20"/>
      <c r="YT128" s="20"/>
      <c r="YU128" s="20"/>
      <c r="YV128" s="20"/>
      <c r="YW128" s="20"/>
      <c r="YX128" s="20"/>
      <c r="YY128" s="20"/>
      <c r="YZ128" s="20"/>
      <c r="ZA128" s="20"/>
      <c r="ZB128" s="20"/>
      <c r="ZC128" s="20"/>
      <c r="ZD128" s="20"/>
      <c r="ZE128" s="20"/>
      <c r="ZF128" s="20"/>
      <c r="ZG128" s="20"/>
      <c r="ZH128" s="20"/>
      <c r="ZI128" s="20"/>
      <c r="ZJ128" s="20"/>
      <c r="ZK128" s="20"/>
      <c r="ZL128" s="20"/>
      <c r="ZM128" s="20"/>
      <c r="ZN128" s="20"/>
      <c r="ZO128" s="20"/>
      <c r="ZP128" s="20"/>
      <c r="ZQ128" s="20"/>
      <c r="ZR128" s="20"/>
      <c r="ZS128" s="20"/>
      <c r="ZT128" s="20"/>
      <c r="ZU128" s="20"/>
      <c r="ZV128" s="20"/>
      <c r="ZW128" s="20"/>
      <c r="ZX128" s="20"/>
      <c r="ZY128" s="20"/>
      <c r="ZZ128" s="20"/>
      <c r="AAA128" s="20"/>
      <c r="AAB128" s="20"/>
      <c r="AAC128" s="20"/>
      <c r="AAD128" s="20"/>
      <c r="AAE128" s="20"/>
      <c r="AAF128" s="20"/>
      <c r="AAG128" s="20"/>
      <c r="AAH128" s="20"/>
      <c r="AAI128" s="20"/>
      <c r="AAJ128" s="20"/>
      <c r="AAK128" s="20"/>
      <c r="AAL128" s="20"/>
      <c r="AAM128" s="20"/>
      <c r="AAN128" s="20"/>
      <c r="AAO128" s="20"/>
      <c r="AAP128" s="20"/>
      <c r="AAQ128" s="20"/>
      <c r="AAR128" s="20"/>
      <c r="AAS128" s="20"/>
      <c r="AAT128" s="20"/>
      <c r="AAU128" s="20"/>
      <c r="AAV128" s="20"/>
      <c r="AAW128" s="20"/>
      <c r="AAX128" s="20"/>
      <c r="AAY128" s="20"/>
      <c r="AAZ128" s="20"/>
      <c r="ABA128" s="20"/>
      <c r="ABB128" s="20"/>
      <c r="ABC128" s="20"/>
      <c r="ABD128" s="20"/>
      <c r="ABE128" s="20"/>
      <c r="ABF128" s="20"/>
      <c r="ABG128" s="20"/>
      <c r="ABH128" s="20"/>
      <c r="ABI128" s="20"/>
      <c r="ABJ128" s="20"/>
      <c r="ABK128" s="20"/>
      <c r="ABL128" s="20"/>
      <c r="ABM128" s="20"/>
      <c r="ABN128" s="20"/>
      <c r="ABO128" s="20"/>
      <c r="ABP128" s="20"/>
      <c r="ABQ128" s="20"/>
      <c r="ABR128" s="20"/>
      <c r="ABS128" s="20"/>
      <c r="ABT128" s="20"/>
      <c r="ABU128" s="20"/>
      <c r="ABV128" s="20"/>
      <c r="ABW128" s="20"/>
      <c r="ABX128" s="20"/>
      <c r="ABY128" s="20"/>
      <c r="ABZ128" s="20"/>
      <c r="ACA128" s="20"/>
      <c r="ACB128" s="20"/>
      <c r="ACC128" s="20"/>
      <c r="ACD128" s="20"/>
      <c r="ACE128" s="20"/>
      <c r="ACF128" s="20"/>
      <c r="ACG128" s="20"/>
      <c r="ACH128" s="20"/>
      <c r="ACI128" s="20"/>
      <c r="ACJ128" s="20"/>
      <c r="ACK128" s="20"/>
      <c r="ACL128" s="20"/>
      <c r="ACM128" s="20"/>
      <c r="ACN128" s="20"/>
      <c r="ACO128" s="20"/>
      <c r="ACP128" s="20"/>
      <c r="ACQ128" s="20"/>
    </row>
    <row r="129" spans="1:771" s="62" customFormat="1" ht="288.95">
      <c r="A129" s="20"/>
      <c r="B129" s="63" t="s">
        <v>567</v>
      </c>
      <c r="C129" s="96"/>
      <c r="D129" s="63" t="s">
        <v>568</v>
      </c>
      <c r="E129" s="96"/>
      <c r="F129" s="63" t="s">
        <v>254</v>
      </c>
      <c r="G129" s="96"/>
      <c r="H129" s="63" t="s">
        <v>569</v>
      </c>
      <c r="I129" s="96"/>
      <c r="J129" s="63" t="s">
        <v>365</v>
      </c>
      <c r="K129" s="96"/>
      <c r="L129" s="61" t="s">
        <v>74</v>
      </c>
      <c r="M129" s="96"/>
      <c r="N129" s="63" t="s">
        <v>103</v>
      </c>
      <c r="O129" s="96"/>
      <c r="P129" s="63" t="s">
        <v>570</v>
      </c>
      <c r="Q129" s="69"/>
      <c r="R129" s="61" t="s">
        <v>77</v>
      </c>
      <c r="S129" s="69"/>
      <c r="T129" s="65" t="s">
        <v>571</v>
      </c>
      <c r="U129" s="66"/>
      <c r="V129" s="67" t="s">
        <v>79</v>
      </c>
      <c r="W129" s="68"/>
      <c r="X129" s="67" t="s">
        <v>80</v>
      </c>
      <c r="Y129" s="68"/>
      <c r="Z129" s="67" t="s">
        <v>80</v>
      </c>
      <c r="AA129" s="68"/>
      <c r="AB129" s="63" t="s">
        <v>572</v>
      </c>
      <c r="AD129" s="63" t="s">
        <v>573</v>
      </c>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c r="IW129" s="20"/>
      <c r="IX129" s="20"/>
      <c r="IY129" s="20"/>
      <c r="IZ129" s="20"/>
      <c r="JA129" s="20"/>
      <c r="JB129" s="20"/>
      <c r="JC129" s="20"/>
      <c r="JD129" s="20"/>
      <c r="JE129" s="20"/>
      <c r="JF129" s="20"/>
      <c r="JG129" s="20"/>
      <c r="JH129" s="20"/>
      <c r="JI129" s="20"/>
      <c r="JJ129" s="20"/>
      <c r="JK129" s="20"/>
      <c r="JL129" s="20"/>
      <c r="JM129" s="20"/>
      <c r="JN129" s="20"/>
      <c r="JO129" s="20"/>
      <c r="JP129" s="20"/>
      <c r="JQ129" s="20"/>
      <c r="JR129" s="20"/>
      <c r="JS129" s="20"/>
      <c r="JT129" s="20"/>
      <c r="JU129" s="20"/>
      <c r="JV129" s="20"/>
      <c r="JW129" s="20"/>
      <c r="JX129" s="20"/>
      <c r="JY129" s="20"/>
      <c r="JZ129" s="20"/>
      <c r="KA129" s="20"/>
      <c r="KB129" s="20"/>
      <c r="KC129" s="20"/>
      <c r="KD129" s="20"/>
      <c r="KE129" s="20"/>
      <c r="KF129" s="20"/>
      <c r="KG129" s="20"/>
      <c r="KH129" s="20"/>
      <c r="KI129" s="20"/>
      <c r="KJ129" s="20"/>
      <c r="KK129" s="20"/>
      <c r="KL129" s="20"/>
      <c r="KM129" s="20"/>
      <c r="KN129" s="20"/>
      <c r="KO129" s="20"/>
      <c r="KP129" s="20"/>
      <c r="KQ129" s="20"/>
      <c r="KR129" s="20"/>
      <c r="KS129" s="20"/>
      <c r="KT129" s="20"/>
      <c r="KU129" s="20"/>
      <c r="KV129" s="20"/>
      <c r="KW129" s="20"/>
      <c r="KX129" s="20"/>
      <c r="KY129" s="20"/>
      <c r="KZ129" s="20"/>
      <c r="LA129" s="20"/>
      <c r="LB129" s="20"/>
      <c r="LC129" s="20"/>
      <c r="LD129" s="20"/>
      <c r="LE129" s="20"/>
      <c r="LF129" s="20"/>
      <c r="LG129" s="20"/>
      <c r="LH129" s="20"/>
      <c r="LI129" s="20"/>
      <c r="LJ129" s="20"/>
      <c r="LK129" s="20"/>
      <c r="LL129" s="20"/>
      <c r="LM129" s="20"/>
      <c r="LN129" s="20"/>
      <c r="LO129" s="20"/>
      <c r="LP129" s="20"/>
      <c r="LQ129" s="20"/>
      <c r="LR129" s="20"/>
      <c r="LS129" s="20"/>
      <c r="LT129" s="20"/>
      <c r="LU129" s="20"/>
      <c r="LV129" s="20"/>
      <c r="LW129" s="20"/>
      <c r="LX129" s="20"/>
      <c r="LY129" s="20"/>
      <c r="LZ129" s="20"/>
      <c r="MA129" s="20"/>
      <c r="MB129" s="20"/>
      <c r="MC129" s="20"/>
      <c r="MD129" s="20"/>
      <c r="ME129" s="20"/>
      <c r="MF129" s="20"/>
      <c r="MG129" s="20"/>
      <c r="MH129" s="20"/>
      <c r="MI129" s="20"/>
      <c r="MJ129" s="20"/>
      <c r="MK129" s="20"/>
      <c r="ML129" s="20"/>
      <c r="MM129" s="20"/>
      <c r="MN129" s="20"/>
      <c r="MO129" s="20"/>
      <c r="MP129" s="20"/>
      <c r="MQ129" s="20"/>
      <c r="MR129" s="20"/>
      <c r="MS129" s="20"/>
      <c r="MT129" s="20"/>
      <c r="MU129" s="20"/>
      <c r="MV129" s="20"/>
      <c r="MW129" s="20"/>
      <c r="MX129" s="20"/>
      <c r="MY129" s="20"/>
      <c r="MZ129" s="20"/>
      <c r="NA129" s="20"/>
      <c r="NB129" s="20"/>
      <c r="NC129" s="20"/>
      <c r="ND129" s="20"/>
      <c r="NE129" s="20"/>
      <c r="NF129" s="20"/>
      <c r="NG129" s="20"/>
      <c r="NH129" s="20"/>
      <c r="NI129" s="20"/>
      <c r="NJ129" s="20"/>
      <c r="NK129" s="20"/>
      <c r="NL129" s="20"/>
      <c r="NM129" s="20"/>
      <c r="NN129" s="20"/>
      <c r="NO129" s="20"/>
      <c r="NP129" s="20"/>
      <c r="NQ129" s="20"/>
      <c r="NR129" s="20"/>
      <c r="NS129" s="20"/>
      <c r="NT129" s="20"/>
      <c r="NU129" s="20"/>
      <c r="NV129" s="20"/>
      <c r="NW129" s="20"/>
      <c r="NX129" s="20"/>
      <c r="NY129" s="20"/>
      <c r="NZ129" s="20"/>
      <c r="OA129" s="20"/>
      <c r="OB129" s="20"/>
      <c r="OC129" s="20"/>
      <c r="OD129" s="20"/>
      <c r="OE129" s="20"/>
      <c r="OF129" s="20"/>
      <c r="OG129" s="20"/>
      <c r="OH129" s="20"/>
      <c r="OI129" s="20"/>
      <c r="OJ129" s="20"/>
      <c r="OK129" s="20"/>
      <c r="OL129" s="20"/>
      <c r="OM129" s="20"/>
      <c r="ON129" s="20"/>
      <c r="OO129" s="20"/>
      <c r="OP129" s="20"/>
      <c r="OQ129" s="20"/>
      <c r="OR129" s="20"/>
      <c r="OS129" s="20"/>
      <c r="OT129" s="20"/>
      <c r="OU129" s="20"/>
      <c r="OV129" s="20"/>
      <c r="OW129" s="20"/>
      <c r="OX129" s="20"/>
      <c r="OY129" s="20"/>
      <c r="OZ129" s="20"/>
      <c r="PA129" s="20"/>
      <c r="PB129" s="20"/>
      <c r="PC129" s="20"/>
      <c r="PD129" s="20"/>
      <c r="PE129" s="20"/>
      <c r="PF129" s="20"/>
      <c r="PG129" s="20"/>
      <c r="PH129" s="20"/>
      <c r="PI129" s="20"/>
      <c r="PJ129" s="20"/>
      <c r="PK129" s="20"/>
      <c r="PL129" s="20"/>
      <c r="PM129" s="20"/>
      <c r="PN129" s="20"/>
      <c r="PO129" s="20"/>
      <c r="PP129" s="20"/>
      <c r="PQ129" s="20"/>
      <c r="PR129" s="20"/>
      <c r="PS129" s="20"/>
      <c r="PT129" s="20"/>
      <c r="PU129" s="20"/>
      <c r="PV129" s="20"/>
      <c r="PW129" s="20"/>
      <c r="PX129" s="20"/>
      <c r="PY129" s="20"/>
      <c r="PZ129" s="20"/>
      <c r="QA129" s="20"/>
      <c r="QB129" s="20"/>
      <c r="QC129" s="20"/>
      <c r="QD129" s="20"/>
      <c r="QE129" s="20"/>
      <c r="QF129" s="20"/>
      <c r="QG129" s="20"/>
      <c r="QH129" s="20"/>
      <c r="QI129" s="20"/>
      <c r="QJ129" s="20"/>
      <c r="QK129" s="20"/>
      <c r="QL129" s="20"/>
      <c r="QM129" s="20"/>
      <c r="QN129" s="20"/>
      <c r="QO129" s="20"/>
      <c r="QP129" s="20"/>
      <c r="QQ129" s="20"/>
      <c r="QR129" s="20"/>
      <c r="QS129" s="20"/>
      <c r="QT129" s="20"/>
      <c r="QU129" s="20"/>
      <c r="QV129" s="20"/>
      <c r="QW129" s="20"/>
      <c r="QX129" s="20"/>
      <c r="QY129" s="20"/>
      <c r="QZ129" s="20"/>
      <c r="RA129" s="20"/>
      <c r="RB129" s="20"/>
      <c r="RC129" s="20"/>
      <c r="RD129" s="20"/>
      <c r="RE129" s="20"/>
      <c r="RF129" s="20"/>
      <c r="RG129" s="20"/>
      <c r="RH129" s="20"/>
      <c r="RI129" s="20"/>
      <c r="RJ129" s="20"/>
      <c r="RK129" s="20"/>
      <c r="RL129" s="20"/>
      <c r="RM129" s="20"/>
      <c r="RN129" s="20"/>
      <c r="RO129" s="20"/>
      <c r="RP129" s="20"/>
      <c r="RQ129" s="20"/>
      <c r="RR129" s="20"/>
      <c r="RS129" s="20"/>
      <c r="RT129" s="20"/>
      <c r="RU129" s="20"/>
      <c r="RV129" s="20"/>
      <c r="RW129" s="20"/>
      <c r="RX129" s="20"/>
      <c r="RY129" s="20"/>
      <c r="RZ129" s="20"/>
      <c r="SA129" s="20"/>
      <c r="SB129" s="20"/>
      <c r="SC129" s="20"/>
      <c r="SD129" s="20"/>
      <c r="SE129" s="20"/>
      <c r="SF129" s="20"/>
      <c r="SG129" s="20"/>
      <c r="SH129" s="20"/>
      <c r="SI129" s="20"/>
      <c r="SJ129" s="20"/>
      <c r="SK129" s="20"/>
      <c r="SL129" s="20"/>
      <c r="SM129" s="20"/>
      <c r="SN129" s="20"/>
      <c r="SO129" s="20"/>
      <c r="SP129" s="20"/>
      <c r="SQ129" s="20"/>
      <c r="SR129" s="20"/>
      <c r="SS129" s="20"/>
      <c r="ST129" s="20"/>
      <c r="SU129" s="20"/>
      <c r="SV129" s="20"/>
      <c r="SW129" s="20"/>
      <c r="SX129" s="20"/>
      <c r="SY129" s="20"/>
      <c r="SZ129" s="20"/>
      <c r="TA129" s="20"/>
      <c r="TB129" s="20"/>
      <c r="TC129" s="20"/>
      <c r="TD129" s="20"/>
      <c r="TE129" s="20"/>
      <c r="TF129" s="20"/>
      <c r="TG129" s="20"/>
      <c r="TH129" s="20"/>
      <c r="TI129" s="20"/>
      <c r="TJ129" s="20"/>
      <c r="TK129" s="20"/>
      <c r="TL129" s="20"/>
      <c r="TM129" s="20"/>
      <c r="TN129" s="20"/>
      <c r="TO129" s="20"/>
      <c r="TP129" s="20"/>
      <c r="TQ129" s="20"/>
      <c r="TR129" s="20"/>
      <c r="TS129" s="20"/>
      <c r="TT129" s="20"/>
      <c r="TU129" s="20"/>
      <c r="TV129" s="20"/>
      <c r="TW129" s="20"/>
      <c r="TX129" s="20"/>
      <c r="TY129" s="20"/>
      <c r="TZ129" s="20"/>
      <c r="UA129" s="20"/>
      <c r="UB129" s="20"/>
      <c r="UC129" s="20"/>
      <c r="UD129" s="20"/>
      <c r="UE129" s="20"/>
      <c r="UF129" s="20"/>
      <c r="UG129" s="20"/>
      <c r="UH129" s="20"/>
      <c r="UI129" s="20"/>
      <c r="UJ129" s="20"/>
      <c r="UK129" s="20"/>
      <c r="UL129" s="20"/>
      <c r="UM129" s="20"/>
      <c r="UN129" s="20"/>
      <c r="UO129" s="20"/>
      <c r="UP129" s="20"/>
      <c r="UQ129" s="20"/>
      <c r="UR129" s="20"/>
      <c r="US129" s="20"/>
      <c r="UT129" s="20"/>
      <c r="UU129" s="20"/>
      <c r="UV129" s="20"/>
      <c r="UW129" s="20"/>
      <c r="UX129" s="20"/>
      <c r="UY129" s="20"/>
      <c r="UZ129" s="20"/>
      <c r="VA129" s="20"/>
      <c r="VB129" s="20"/>
      <c r="VC129" s="20"/>
      <c r="VD129" s="20"/>
      <c r="VE129" s="20"/>
      <c r="VF129" s="20"/>
      <c r="VG129" s="20"/>
      <c r="VH129" s="20"/>
      <c r="VI129" s="20"/>
      <c r="VJ129" s="20"/>
      <c r="VK129" s="20"/>
      <c r="VL129" s="20"/>
      <c r="VM129" s="20"/>
      <c r="VN129" s="20"/>
      <c r="VO129" s="20"/>
      <c r="VP129" s="20"/>
      <c r="VQ129" s="20"/>
      <c r="VR129" s="20"/>
      <c r="VS129" s="20"/>
      <c r="VT129" s="20"/>
      <c r="VU129" s="20"/>
      <c r="VV129" s="20"/>
      <c r="VW129" s="20"/>
      <c r="VX129" s="20"/>
      <c r="VY129" s="20"/>
      <c r="VZ129" s="20"/>
      <c r="WA129" s="20"/>
      <c r="WB129" s="20"/>
      <c r="WC129" s="20"/>
      <c r="WD129" s="20"/>
      <c r="WE129" s="20"/>
      <c r="WF129" s="20"/>
      <c r="WG129" s="20"/>
      <c r="WH129" s="20"/>
      <c r="WI129" s="20"/>
      <c r="WJ129" s="20"/>
      <c r="WK129" s="20"/>
      <c r="WL129" s="20"/>
      <c r="WM129" s="20"/>
      <c r="WN129" s="20"/>
      <c r="WO129" s="20"/>
      <c r="WP129" s="20"/>
      <c r="WQ129" s="20"/>
      <c r="WR129" s="20"/>
      <c r="WS129" s="20"/>
      <c r="WT129" s="20"/>
      <c r="WU129" s="20"/>
      <c r="WV129" s="20"/>
      <c r="WW129" s="20"/>
      <c r="WX129" s="20"/>
      <c r="WY129" s="20"/>
      <c r="WZ129" s="20"/>
      <c r="XA129" s="20"/>
      <c r="XB129" s="20"/>
      <c r="XC129" s="20"/>
      <c r="XD129" s="20"/>
      <c r="XE129" s="20"/>
      <c r="XF129" s="20"/>
      <c r="XG129" s="20"/>
      <c r="XH129" s="20"/>
      <c r="XI129" s="20"/>
      <c r="XJ129" s="20"/>
      <c r="XK129" s="20"/>
      <c r="XL129" s="20"/>
      <c r="XM129" s="20"/>
      <c r="XN129" s="20"/>
      <c r="XO129" s="20"/>
      <c r="XP129" s="20"/>
      <c r="XQ129" s="20"/>
      <c r="XR129" s="20"/>
      <c r="XS129" s="20"/>
      <c r="XT129" s="20"/>
      <c r="XU129" s="20"/>
      <c r="XV129" s="20"/>
      <c r="XW129" s="20"/>
      <c r="XX129" s="20"/>
      <c r="XY129" s="20"/>
      <c r="XZ129" s="20"/>
      <c r="YA129" s="20"/>
      <c r="YB129" s="20"/>
      <c r="YC129" s="20"/>
      <c r="YD129" s="20"/>
      <c r="YE129" s="20"/>
      <c r="YF129" s="20"/>
      <c r="YG129" s="20"/>
      <c r="YH129" s="20"/>
      <c r="YI129" s="20"/>
      <c r="YJ129" s="20"/>
      <c r="YK129" s="20"/>
      <c r="YL129" s="20"/>
      <c r="YM129" s="20"/>
      <c r="YN129" s="20"/>
      <c r="YO129" s="20"/>
      <c r="YP129" s="20"/>
      <c r="YQ129" s="20"/>
      <c r="YR129" s="20"/>
      <c r="YS129" s="20"/>
      <c r="YT129" s="20"/>
      <c r="YU129" s="20"/>
      <c r="YV129" s="20"/>
      <c r="YW129" s="20"/>
      <c r="YX129" s="20"/>
      <c r="YY129" s="20"/>
      <c r="YZ129" s="20"/>
      <c r="ZA129" s="20"/>
      <c r="ZB129" s="20"/>
      <c r="ZC129" s="20"/>
      <c r="ZD129" s="20"/>
      <c r="ZE129" s="20"/>
      <c r="ZF129" s="20"/>
      <c r="ZG129" s="20"/>
      <c r="ZH129" s="20"/>
      <c r="ZI129" s="20"/>
      <c r="ZJ129" s="20"/>
      <c r="ZK129" s="20"/>
      <c r="ZL129" s="20"/>
      <c r="ZM129" s="20"/>
      <c r="ZN129" s="20"/>
      <c r="ZO129" s="20"/>
      <c r="ZP129" s="20"/>
      <c r="ZQ129" s="20"/>
      <c r="ZR129" s="20"/>
      <c r="ZS129" s="20"/>
      <c r="ZT129" s="20"/>
      <c r="ZU129" s="20"/>
      <c r="ZV129" s="20"/>
      <c r="ZW129" s="20"/>
      <c r="ZX129" s="20"/>
      <c r="ZY129" s="20"/>
      <c r="ZZ129" s="20"/>
      <c r="AAA129" s="20"/>
      <c r="AAB129" s="20"/>
      <c r="AAC129" s="20"/>
      <c r="AAD129" s="20"/>
      <c r="AAE129" s="20"/>
      <c r="AAF129" s="20"/>
      <c r="AAG129" s="20"/>
      <c r="AAH129" s="20"/>
      <c r="AAI129" s="20"/>
      <c r="AAJ129" s="20"/>
      <c r="AAK129" s="20"/>
      <c r="AAL129" s="20"/>
      <c r="AAM129" s="20"/>
      <c r="AAN129" s="20"/>
      <c r="AAO129" s="20"/>
      <c r="AAP129" s="20"/>
      <c r="AAQ129" s="20"/>
      <c r="AAR129" s="20"/>
      <c r="AAS129" s="20"/>
      <c r="AAT129" s="20"/>
      <c r="AAU129" s="20"/>
      <c r="AAV129" s="20"/>
      <c r="AAW129" s="20"/>
      <c r="AAX129" s="20"/>
      <c r="AAY129" s="20"/>
      <c r="AAZ129" s="20"/>
      <c r="ABA129" s="20"/>
      <c r="ABB129" s="20"/>
      <c r="ABC129" s="20"/>
      <c r="ABD129" s="20"/>
      <c r="ABE129" s="20"/>
      <c r="ABF129" s="20"/>
      <c r="ABG129" s="20"/>
      <c r="ABH129" s="20"/>
      <c r="ABI129" s="20"/>
      <c r="ABJ129" s="20"/>
      <c r="ABK129" s="20"/>
      <c r="ABL129" s="20"/>
      <c r="ABM129" s="20"/>
      <c r="ABN129" s="20"/>
      <c r="ABO129" s="20"/>
      <c r="ABP129" s="20"/>
      <c r="ABQ129" s="20"/>
      <c r="ABR129" s="20"/>
      <c r="ABS129" s="20"/>
      <c r="ABT129" s="20"/>
      <c r="ABU129" s="20"/>
      <c r="ABV129" s="20"/>
      <c r="ABW129" s="20"/>
      <c r="ABX129" s="20"/>
      <c r="ABY129" s="20"/>
      <c r="ABZ129" s="20"/>
      <c r="ACA129" s="20"/>
      <c r="ACB129" s="20"/>
      <c r="ACC129" s="20"/>
      <c r="ACD129" s="20"/>
      <c r="ACE129" s="20"/>
      <c r="ACF129" s="20"/>
      <c r="ACG129" s="20"/>
      <c r="ACH129" s="20"/>
      <c r="ACI129" s="20"/>
      <c r="ACJ129" s="20"/>
      <c r="ACK129" s="20"/>
      <c r="ACL129" s="20"/>
      <c r="ACM129" s="20"/>
      <c r="ACN129" s="20"/>
      <c r="ACO129" s="20"/>
      <c r="ACP129" s="20"/>
      <c r="ACQ129" s="20"/>
    </row>
    <row r="130" spans="1:771" s="62" customFormat="1" ht="84.95">
      <c r="A130" s="21"/>
      <c r="B130" s="63" t="s">
        <v>574</v>
      </c>
      <c r="C130" s="96"/>
      <c r="D130" s="63" t="s">
        <v>575</v>
      </c>
      <c r="E130" s="96"/>
      <c r="F130" s="63" t="s">
        <v>254</v>
      </c>
      <c r="G130" s="96"/>
      <c r="H130" s="63" t="s">
        <v>576</v>
      </c>
      <c r="I130" s="96"/>
      <c r="J130" s="63" t="s">
        <v>365</v>
      </c>
      <c r="K130" s="96"/>
      <c r="L130" s="61" t="s">
        <v>74</v>
      </c>
      <c r="M130" s="96"/>
      <c r="N130" s="63" t="s">
        <v>103</v>
      </c>
      <c r="O130" s="96"/>
      <c r="P130" s="63" t="s">
        <v>577</v>
      </c>
      <c r="Q130" s="69"/>
      <c r="R130" s="61" t="s">
        <v>77</v>
      </c>
      <c r="S130" s="69"/>
      <c r="T130" s="65" t="s">
        <v>578</v>
      </c>
      <c r="U130" s="66"/>
      <c r="V130" s="67" t="s">
        <v>80</v>
      </c>
      <c r="W130" s="68"/>
      <c r="X130" s="67" t="s">
        <v>80</v>
      </c>
      <c r="Y130" s="68"/>
      <c r="Z130" s="67" t="s">
        <v>80</v>
      </c>
      <c r="AA130" s="68"/>
      <c r="AB130" s="67" t="s">
        <v>80</v>
      </c>
      <c r="AD130" s="63" t="s">
        <v>579</v>
      </c>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c r="IW130" s="20"/>
      <c r="IX130" s="20"/>
      <c r="IY130" s="20"/>
      <c r="IZ130" s="20"/>
      <c r="JA130" s="20"/>
      <c r="JB130" s="20"/>
      <c r="JC130" s="20"/>
      <c r="JD130" s="20"/>
      <c r="JE130" s="20"/>
      <c r="JF130" s="20"/>
      <c r="JG130" s="20"/>
      <c r="JH130" s="20"/>
      <c r="JI130" s="20"/>
      <c r="JJ130" s="20"/>
      <c r="JK130" s="20"/>
      <c r="JL130" s="20"/>
      <c r="JM130" s="20"/>
      <c r="JN130" s="20"/>
      <c r="JO130" s="20"/>
      <c r="JP130" s="20"/>
      <c r="JQ130" s="20"/>
      <c r="JR130" s="20"/>
      <c r="JS130" s="20"/>
      <c r="JT130" s="20"/>
      <c r="JU130" s="20"/>
      <c r="JV130" s="20"/>
      <c r="JW130" s="20"/>
      <c r="JX130" s="20"/>
      <c r="JY130" s="20"/>
      <c r="JZ130" s="20"/>
      <c r="KA130" s="20"/>
      <c r="KB130" s="20"/>
      <c r="KC130" s="20"/>
      <c r="KD130" s="20"/>
      <c r="KE130" s="20"/>
      <c r="KF130" s="20"/>
      <c r="KG130" s="20"/>
      <c r="KH130" s="20"/>
      <c r="KI130" s="20"/>
      <c r="KJ130" s="20"/>
      <c r="KK130" s="20"/>
      <c r="KL130" s="20"/>
      <c r="KM130" s="20"/>
      <c r="KN130" s="20"/>
      <c r="KO130" s="20"/>
      <c r="KP130" s="20"/>
      <c r="KQ130" s="20"/>
      <c r="KR130" s="20"/>
      <c r="KS130" s="20"/>
      <c r="KT130" s="20"/>
      <c r="KU130" s="20"/>
      <c r="KV130" s="20"/>
      <c r="KW130" s="20"/>
      <c r="KX130" s="20"/>
      <c r="KY130" s="20"/>
      <c r="KZ130" s="20"/>
      <c r="LA130" s="20"/>
      <c r="LB130" s="20"/>
      <c r="LC130" s="20"/>
      <c r="LD130" s="20"/>
      <c r="LE130" s="20"/>
      <c r="LF130" s="20"/>
      <c r="LG130" s="20"/>
      <c r="LH130" s="20"/>
      <c r="LI130" s="20"/>
      <c r="LJ130" s="20"/>
      <c r="LK130" s="20"/>
      <c r="LL130" s="20"/>
      <c r="LM130" s="20"/>
      <c r="LN130" s="20"/>
      <c r="LO130" s="20"/>
      <c r="LP130" s="20"/>
      <c r="LQ130" s="20"/>
      <c r="LR130" s="20"/>
      <c r="LS130" s="20"/>
      <c r="LT130" s="20"/>
      <c r="LU130" s="20"/>
      <c r="LV130" s="20"/>
      <c r="LW130" s="20"/>
      <c r="LX130" s="20"/>
      <c r="LY130" s="20"/>
      <c r="LZ130" s="20"/>
      <c r="MA130" s="20"/>
      <c r="MB130" s="20"/>
      <c r="MC130" s="20"/>
      <c r="MD130" s="20"/>
      <c r="ME130" s="20"/>
      <c r="MF130" s="20"/>
      <c r="MG130" s="20"/>
      <c r="MH130" s="20"/>
      <c r="MI130" s="20"/>
      <c r="MJ130" s="20"/>
      <c r="MK130" s="20"/>
      <c r="ML130" s="20"/>
      <c r="MM130" s="20"/>
      <c r="MN130" s="20"/>
      <c r="MO130" s="20"/>
      <c r="MP130" s="20"/>
      <c r="MQ130" s="20"/>
      <c r="MR130" s="20"/>
      <c r="MS130" s="20"/>
      <c r="MT130" s="20"/>
      <c r="MU130" s="20"/>
      <c r="MV130" s="20"/>
      <c r="MW130" s="20"/>
      <c r="MX130" s="20"/>
      <c r="MY130" s="20"/>
      <c r="MZ130" s="20"/>
      <c r="NA130" s="20"/>
      <c r="NB130" s="20"/>
      <c r="NC130" s="20"/>
      <c r="ND130" s="20"/>
      <c r="NE130" s="20"/>
      <c r="NF130" s="20"/>
      <c r="NG130" s="20"/>
      <c r="NH130" s="20"/>
      <c r="NI130" s="20"/>
      <c r="NJ130" s="20"/>
      <c r="NK130" s="20"/>
      <c r="NL130" s="20"/>
      <c r="NM130" s="20"/>
      <c r="NN130" s="20"/>
      <c r="NO130" s="20"/>
      <c r="NP130" s="20"/>
      <c r="NQ130" s="20"/>
      <c r="NR130" s="20"/>
      <c r="NS130" s="20"/>
      <c r="NT130" s="20"/>
      <c r="NU130" s="20"/>
      <c r="NV130" s="20"/>
      <c r="NW130" s="20"/>
      <c r="NX130" s="20"/>
      <c r="NY130" s="20"/>
      <c r="NZ130" s="20"/>
      <c r="OA130" s="20"/>
      <c r="OB130" s="20"/>
      <c r="OC130" s="20"/>
      <c r="OD130" s="20"/>
      <c r="OE130" s="20"/>
      <c r="OF130" s="20"/>
      <c r="OG130" s="20"/>
      <c r="OH130" s="20"/>
      <c r="OI130" s="20"/>
      <c r="OJ130" s="20"/>
      <c r="OK130" s="20"/>
      <c r="OL130" s="20"/>
      <c r="OM130" s="20"/>
      <c r="ON130" s="20"/>
      <c r="OO130" s="20"/>
      <c r="OP130" s="20"/>
      <c r="OQ130" s="20"/>
      <c r="OR130" s="20"/>
      <c r="OS130" s="20"/>
      <c r="OT130" s="20"/>
      <c r="OU130" s="20"/>
      <c r="OV130" s="20"/>
      <c r="OW130" s="20"/>
      <c r="OX130" s="20"/>
      <c r="OY130" s="20"/>
      <c r="OZ130" s="20"/>
      <c r="PA130" s="20"/>
      <c r="PB130" s="20"/>
      <c r="PC130" s="20"/>
      <c r="PD130" s="20"/>
      <c r="PE130" s="20"/>
      <c r="PF130" s="20"/>
      <c r="PG130" s="20"/>
      <c r="PH130" s="20"/>
      <c r="PI130" s="20"/>
      <c r="PJ130" s="20"/>
      <c r="PK130" s="20"/>
      <c r="PL130" s="20"/>
      <c r="PM130" s="20"/>
      <c r="PN130" s="20"/>
      <c r="PO130" s="20"/>
      <c r="PP130" s="20"/>
      <c r="PQ130" s="20"/>
      <c r="PR130" s="20"/>
      <c r="PS130" s="20"/>
      <c r="PT130" s="20"/>
      <c r="PU130" s="20"/>
      <c r="PV130" s="20"/>
      <c r="PW130" s="20"/>
      <c r="PX130" s="20"/>
      <c r="PY130" s="20"/>
      <c r="PZ130" s="20"/>
      <c r="QA130" s="20"/>
      <c r="QB130" s="20"/>
      <c r="QC130" s="20"/>
      <c r="QD130" s="20"/>
      <c r="QE130" s="20"/>
      <c r="QF130" s="20"/>
      <c r="QG130" s="20"/>
      <c r="QH130" s="20"/>
      <c r="QI130" s="20"/>
      <c r="QJ130" s="20"/>
      <c r="QK130" s="20"/>
      <c r="QL130" s="20"/>
      <c r="QM130" s="20"/>
      <c r="QN130" s="20"/>
      <c r="QO130" s="20"/>
      <c r="QP130" s="20"/>
      <c r="QQ130" s="20"/>
      <c r="QR130" s="20"/>
      <c r="QS130" s="20"/>
      <c r="QT130" s="20"/>
      <c r="QU130" s="20"/>
      <c r="QV130" s="20"/>
      <c r="QW130" s="20"/>
      <c r="QX130" s="20"/>
      <c r="QY130" s="20"/>
      <c r="QZ130" s="20"/>
      <c r="RA130" s="20"/>
      <c r="RB130" s="20"/>
      <c r="RC130" s="20"/>
      <c r="RD130" s="20"/>
      <c r="RE130" s="20"/>
      <c r="RF130" s="20"/>
      <c r="RG130" s="20"/>
      <c r="RH130" s="20"/>
      <c r="RI130" s="20"/>
      <c r="RJ130" s="20"/>
      <c r="RK130" s="20"/>
      <c r="RL130" s="20"/>
      <c r="RM130" s="20"/>
      <c r="RN130" s="20"/>
      <c r="RO130" s="20"/>
      <c r="RP130" s="20"/>
      <c r="RQ130" s="20"/>
      <c r="RR130" s="20"/>
      <c r="RS130" s="20"/>
      <c r="RT130" s="20"/>
      <c r="RU130" s="20"/>
      <c r="RV130" s="20"/>
      <c r="RW130" s="20"/>
      <c r="RX130" s="20"/>
      <c r="RY130" s="20"/>
      <c r="RZ130" s="20"/>
      <c r="SA130" s="20"/>
      <c r="SB130" s="20"/>
      <c r="SC130" s="20"/>
      <c r="SD130" s="20"/>
      <c r="SE130" s="20"/>
      <c r="SF130" s="20"/>
      <c r="SG130" s="20"/>
      <c r="SH130" s="20"/>
      <c r="SI130" s="20"/>
      <c r="SJ130" s="20"/>
      <c r="SK130" s="20"/>
      <c r="SL130" s="20"/>
      <c r="SM130" s="20"/>
      <c r="SN130" s="20"/>
      <c r="SO130" s="20"/>
      <c r="SP130" s="20"/>
      <c r="SQ130" s="20"/>
      <c r="SR130" s="20"/>
      <c r="SS130" s="20"/>
      <c r="ST130" s="20"/>
      <c r="SU130" s="20"/>
      <c r="SV130" s="20"/>
      <c r="SW130" s="20"/>
      <c r="SX130" s="20"/>
      <c r="SY130" s="20"/>
      <c r="SZ130" s="20"/>
      <c r="TA130" s="20"/>
      <c r="TB130" s="20"/>
      <c r="TC130" s="20"/>
      <c r="TD130" s="20"/>
      <c r="TE130" s="20"/>
      <c r="TF130" s="20"/>
      <c r="TG130" s="20"/>
      <c r="TH130" s="20"/>
      <c r="TI130" s="20"/>
      <c r="TJ130" s="20"/>
      <c r="TK130" s="20"/>
      <c r="TL130" s="20"/>
      <c r="TM130" s="20"/>
      <c r="TN130" s="20"/>
      <c r="TO130" s="20"/>
      <c r="TP130" s="20"/>
      <c r="TQ130" s="20"/>
      <c r="TR130" s="20"/>
      <c r="TS130" s="20"/>
      <c r="TT130" s="20"/>
      <c r="TU130" s="20"/>
      <c r="TV130" s="20"/>
      <c r="TW130" s="20"/>
      <c r="TX130" s="20"/>
      <c r="TY130" s="20"/>
      <c r="TZ130" s="20"/>
      <c r="UA130" s="20"/>
      <c r="UB130" s="20"/>
      <c r="UC130" s="20"/>
      <c r="UD130" s="20"/>
      <c r="UE130" s="20"/>
      <c r="UF130" s="20"/>
      <c r="UG130" s="20"/>
      <c r="UH130" s="20"/>
      <c r="UI130" s="20"/>
      <c r="UJ130" s="20"/>
      <c r="UK130" s="20"/>
      <c r="UL130" s="20"/>
      <c r="UM130" s="20"/>
      <c r="UN130" s="20"/>
      <c r="UO130" s="20"/>
      <c r="UP130" s="20"/>
      <c r="UQ130" s="20"/>
      <c r="UR130" s="20"/>
      <c r="US130" s="20"/>
      <c r="UT130" s="20"/>
      <c r="UU130" s="20"/>
      <c r="UV130" s="20"/>
      <c r="UW130" s="20"/>
      <c r="UX130" s="20"/>
      <c r="UY130" s="20"/>
      <c r="UZ130" s="20"/>
      <c r="VA130" s="20"/>
      <c r="VB130" s="20"/>
      <c r="VC130" s="20"/>
      <c r="VD130" s="20"/>
      <c r="VE130" s="20"/>
      <c r="VF130" s="20"/>
      <c r="VG130" s="20"/>
      <c r="VH130" s="20"/>
      <c r="VI130" s="20"/>
      <c r="VJ130" s="20"/>
      <c r="VK130" s="20"/>
      <c r="VL130" s="20"/>
      <c r="VM130" s="20"/>
      <c r="VN130" s="20"/>
      <c r="VO130" s="20"/>
      <c r="VP130" s="20"/>
      <c r="VQ130" s="20"/>
      <c r="VR130" s="20"/>
      <c r="VS130" s="20"/>
      <c r="VT130" s="20"/>
      <c r="VU130" s="20"/>
      <c r="VV130" s="20"/>
      <c r="VW130" s="20"/>
      <c r="VX130" s="20"/>
      <c r="VY130" s="20"/>
      <c r="VZ130" s="20"/>
      <c r="WA130" s="20"/>
      <c r="WB130" s="20"/>
      <c r="WC130" s="20"/>
      <c r="WD130" s="20"/>
      <c r="WE130" s="20"/>
      <c r="WF130" s="20"/>
      <c r="WG130" s="20"/>
      <c r="WH130" s="20"/>
      <c r="WI130" s="20"/>
      <c r="WJ130" s="20"/>
      <c r="WK130" s="20"/>
      <c r="WL130" s="20"/>
      <c r="WM130" s="20"/>
      <c r="WN130" s="20"/>
      <c r="WO130" s="20"/>
      <c r="WP130" s="20"/>
      <c r="WQ130" s="20"/>
      <c r="WR130" s="20"/>
      <c r="WS130" s="20"/>
      <c r="WT130" s="20"/>
      <c r="WU130" s="20"/>
      <c r="WV130" s="20"/>
      <c r="WW130" s="20"/>
      <c r="WX130" s="20"/>
      <c r="WY130" s="20"/>
      <c r="WZ130" s="20"/>
      <c r="XA130" s="20"/>
      <c r="XB130" s="20"/>
      <c r="XC130" s="20"/>
      <c r="XD130" s="20"/>
      <c r="XE130" s="20"/>
      <c r="XF130" s="20"/>
      <c r="XG130" s="20"/>
      <c r="XH130" s="20"/>
      <c r="XI130" s="20"/>
      <c r="XJ130" s="20"/>
      <c r="XK130" s="20"/>
      <c r="XL130" s="20"/>
      <c r="XM130" s="20"/>
      <c r="XN130" s="20"/>
      <c r="XO130" s="20"/>
      <c r="XP130" s="20"/>
      <c r="XQ130" s="20"/>
      <c r="XR130" s="20"/>
      <c r="XS130" s="20"/>
      <c r="XT130" s="20"/>
      <c r="XU130" s="20"/>
      <c r="XV130" s="20"/>
      <c r="XW130" s="20"/>
      <c r="XX130" s="20"/>
      <c r="XY130" s="20"/>
      <c r="XZ130" s="20"/>
      <c r="YA130" s="20"/>
      <c r="YB130" s="20"/>
      <c r="YC130" s="20"/>
      <c r="YD130" s="20"/>
      <c r="YE130" s="20"/>
      <c r="YF130" s="20"/>
      <c r="YG130" s="20"/>
      <c r="YH130" s="20"/>
      <c r="YI130" s="20"/>
      <c r="YJ130" s="20"/>
      <c r="YK130" s="20"/>
      <c r="YL130" s="20"/>
      <c r="YM130" s="20"/>
      <c r="YN130" s="20"/>
      <c r="YO130" s="20"/>
      <c r="YP130" s="20"/>
      <c r="YQ130" s="20"/>
      <c r="YR130" s="20"/>
      <c r="YS130" s="20"/>
      <c r="YT130" s="20"/>
      <c r="YU130" s="20"/>
      <c r="YV130" s="20"/>
      <c r="YW130" s="20"/>
      <c r="YX130" s="20"/>
      <c r="YY130" s="20"/>
      <c r="YZ130" s="20"/>
      <c r="ZA130" s="20"/>
      <c r="ZB130" s="20"/>
      <c r="ZC130" s="20"/>
      <c r="ZD130" s="20"/>
      <c r="ZE130" s="20"/>
      <c r="ZF130" s="20"/>
      <c r="ZG130" s="20"/>
      <c r="ZH130" s="20"/>
      <c r="ZI130" s="20"/>
      <c r="ZJ130" s="20"/>
      <c r="ZK130" s="20"/>
      <c r="ZL130" s="20"/>
      <c r="ZM130" s="20"/>
      <c r="ZN130" s="20"/>
      <c r="ZO130" s="20"/>
      <c r="ZP130" s="20"/>
      <c r="ZQ130" s="20"/>
      <c r="ZR130" s="20"/>
      <c r="ZS130" s="20"/>
      <c r="ZT130" s="20"/>
      <c r="ZU130" s="20"/>
      <c r="ZV130" s="20"/>
      <c r="ZW130" s="20"/>
      <c r="ZX130" s="20"/>
      <c r="ZY130" s="20"/>
      <c r="ZZ130" s="20"/>
      <c r="AAA130" s="20"/>
      <c r="AAB130" s="20"/>
      <c r="AAC130" s="20"/>
      <c r="AAD130" s="20"/>
      <c r="AAE130" s="20"/>
      <c r="AAF130" s="20"/>
      <c r="AAG130" s="20"/>
      <c r="AAH130" s="20"/>
      <c r="AAI130" s="20"/>
      <c r="AAJ130" s="20"/>
      <c r="AAK130" s="20"/>
      <c r="AAL130" s="20"/>
      <c r="AAM130" s="20"/>
      <c r="AAN130" s="20"/>
      <c r="AAO130" s="20"/>
      <c r="AAP130" s="20"/>
      <c r="AAQ130" s="20"/>
      <c r="AAR130" s="20"/>
      <c r="AAS130" s="20"/>
      <c r="AAT130" s="20"/>
      <c r="AAU130" s="20"/>
      <c r="AAV130" s="20"/>
      <c r="AAW130" s="20"/>
      <c r="AAX130" s="20"/>
      <c r="AAY130" s="20"/>
      <c r="AAZ130" s="20"/>
      <c r="ABA130" s="20"/>
      <c r="ABB130" s="20"/>
      <c r="ABC130" s="20"/>
      <c r="ABD130" s="20"/>
      <c r="ABE130" s="20"/>
      <c r="ABF130" s="20"/>
      <c r="ABG130" s="20"/>
      <c r="ABH130" s="20"/>
      <c r="ABI130" s="20"/>
      <c r="ABJ130" s="20"/>
      <c r="ABK130" s="20"/>
      <c r="ABL130" s="20"/>
      <c r="ABM130" s="20"/>
      <c r="ABN130" s="20"/>
      <c r="ABO130" s="20"/>
      <c r="ABP130" s="20"/>
      <c r="ABQ130" s="20"/>
      <c r="ABR130" s="20"/>
      <c r="ABS130" s="20"/>
      <c r="ABT130" s="20"/>
      <c r="ABU130" s="20"/>
      <c r="ABV130" s="20"/>
      <c r="ABW130" s="20"/>
      <c r="ABX130" s="20"/>
      <c r="ABY130" s="20"/>
      <c r="ABZ130" s="20"/>
      <c r="ACA130" s="20"/>
      <c r="ACB130" s="20"/>
      <c r="ACC130" s="20"/>
      <c r="ACD130" s="20"/>
      <c r="ACE130" s="20"/>
      <c r="ACF130" s="20"/>
      <c r="ACG130" s="20"/>
      <c r="ACH130" s="20"/>
      <c r="ACI130" s="20"/>
      <c r="ACJ130" s="20"/>
      <c r="ACK130" s="20"/>
      <c r="ACL130" s="20"/>
      <c r="ACM130" s="20"/>
      <c r="ACN130" s="20"/>
      <c r="ACO130" s="20"/>
      <c r="ACP130" s="20"/>
      <c r="ACQ130" s="20"/>
    </row>
    <row r="131" spans="1:771" s="62" customFormat="1" ht="68.099999999999994">
      <c r="A131" s="20"/>
      <c r="B131" s="63" t="s">
        <v>580</v>
      </c>
      <c r="C131" s="96"/>
      <c r="D131" s="63" t="s">
        <v>581</v>
      </c>
      <c r="E131" s="96"/>
      <c r="F131" s="63" t="s">
        <v>184</v>
      </c>
      <c r="G131" s="96"/>
      <c r="H131" s="63" t="s">
        <v>72</v>
      </c>
      <c r="I131" s="96"/>
      <c r="J131" s="63" t="s">
        <v>365</v>
      </c>
      <c r="K131" s="96"/>
      <c r="L131" s="61" t="s">
        <v>74</v>
      </c>
      <c r="M131" s="96"/>
      <c r="N131" s="63" t="s">
        <v>103</v>
      </c>
      <c r="O131" s="96"/>
      <c r="P131" s="63" t="s">
        <v>582</v>
      </c>
      <c r="Q131" s="69"/>
      <c r="R131" s="61" t="s">
        <v>77</v>
      </c>
      <c r="S131" s="69"/>
      <c r="T131" s="65" t="s">
        <v>583</v>
      </c>
      <c r="U131" s="66"/>
      <c r="V131" s="67" t="s">
        <v>79</v>
      </c>
      <c r="W131" s="68"/>
      <c r="X131" s="67" t="s">
        <v>80</v>
      </c>
      <c r="Y131" s="68"/>
      <c r="Z131" s="67" t="s">
        <v>80</v>
      </c>
      <c r="AA131" s="68"/>
      <c r="AB131" s="63" t="s">
        <v>572</v>
      </c>
      <c r="AD131" s="63" t="s">
        <v>584</v>
      </c>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c r="IW131" s="20"/>
      <c r="IX131" s="20"/>
      <c r="IY131" s="20"/>
      <c r="IZ131" s="20"/>
      <c r="JA131" s="20"/>
      <c r="JB131" s="20"/>
      <c r="JC131" s="20"/>
      <c r="JD131" s="20"/>
      <c r="JE131" s="20"/>
      <c r="JF131" s="20"/>
      <c r="JG131" s="20"/>
      <c r="JH131" s="20"/>
      <c r="JI131" s="20"/>
      <c r="JJ131" s="20"/>
      <c r="JK131" s="20"/>
      <c r="JL131" s="20"/>
      <c r="JM131" s="20"/>
      <c r="JN131" s="20"/>
      <c r="JO131" s="20"/>
      <c r="JP131" s="20"/>
      <c r="JQ131" s="20"/>
      <c r="JR131" s="20"/>
      <c r="JS131" s="20"/>
      <c r="JT131" s="20"/>
      <c r="JU131" s="20"/>
      <c r="JV131" s="20"/>
      <c r="JW131" s="20"/>
      <c r="JX131" s="20"/>
      <c r="JY131" s="20"/>
      <c r="JZ131" s="20"/>
      <c r="KA131" s="20"/>
      <c r="KB131" s="20"/>
      <c r="KC131" s="20"/>
      <c r="KD131" s="20"/>
      <c r="KE131" s="20"/>
      <c r="KF131" s="20"/>
      <c r="KG131" s="20"/>
      <c r="KH131" s="20"/>
      <c r="KI131" s="20"/>
      <c r="KJ131" s="20"/>
      <c r="KK131" s="20"/>
      <c r="KL131" s="20"/>
      <c r="KM131" s="20"/>
      <c r="KN131" s="20"/>
      <c r="KO131" s="20"/>
      <c r="KP131" s="20"/>
      <c r="KQ131" s="20"/>
      <c r="KR131" s="20"/>
      <c r="KS131" s="20"/>
      <c r="KT131" s="20"/>
      <c r="KU131" s="20"/>
      <c r="KV131" s="20"/>
      <c r="KW131" s="20"/>
      <c r="KX131" s="20"/>
      <c r="KY131" s="20"/>
      <c r="KZ131" s="20"/>
      <c r="LA131" s="20"/>
      <c r="LB131" s="20"/>
      <c r="LC131" s="20"/>
      <c r="LD131" s="20"/>
      <c r="LE131" s="20"/>
      <c r="LF131" s="20"/>
      <c r="LG131" s="20"/>
      <c r="LH131" s="20"/>
      <c r="LI131" s="20"/>
      <c r="LJ131" s="20"/>
      <c r="LK131" s="20"/>
      <c r="LL131" s="20"/>
      <c r="LM131" s="20"/>
      <c r="LN131" s="20"/>
      <c r="LO131" s="20"/>
      <c r="LP131" s="20"/>
      <c r="LQ131" s="20"/>
      <c r="LR131" s="20"/>
      <c r="LS131" s="20"/>
      <c r="LT131" s="20"/>
      <c r="LU131" s="20"/>
      <c r="LV131" s="20"/>
      <c r="LW131" s="20"/>
      <c r="LX131" s="20"/>
      <c r="LY131" s="20"/>
      <c r="LZ131" s="20"/>
      <c r="MA131" s="20"/>
      <c r="MB131" s="20"/>
      <c r="MC131" s="20"/>
      <c r="MD131" s="20"/>
      <c r="ME131" s="20"/>
      <c r="MF131" s="20"/>
      <c r="MG131" s="20"/>
      <c r="MH131" s="20"/>
      <c r="MI131" s="20"/>
      <c r="MJ131" s="20"/>
      <c r="MK131" s="20"/>
      <c r="ML131" s="20"/>
      <c r="MM131" s="20"/>
      <c r="MN131" s="20"/>
      <c r="MO131" s="20"/>
      <c r="MP131" s="20"/>
      <c r="MQ131" s="20"/>
      <c r="MR131" s="20"/>
      <c r="MS131" s="20"/>
      <c r="MT131" s="20"/>
      <c r="MU131" s="20"/>
      <c r="MV131" s="20"/>
      <c r="MW131" s="20"/>
      <c r="MX131" s="20"/>
      <c r="MY131" s="20"/>
      <c r="MZ131" s="20"/>
      <c r="NA131" s="20"/>
      <c r="NB131" s="20"/>
      <c r="NC131" s="20"/>
      <c r="ND131" s="20"/>
      <c r="NE131" s="20"/>
      <c r="NF131" s="20"/>
      <c r="NG131" s="20"/>
      <c r="NH131" s="20"/>
      <c r="NI131" s="20"/>
      <c r="NJ131" s="20"/>
      <c r="NK131" s="20"/>
      <c r="NL131" s="20"/>
      <c r="NM131" s="20"/>
      <c r="NN131" s="20"/>
      <c r="NO131" s="20"/>
      <c r="NP131" s="20"/>
      <c r="NQ131" s="20"/>
      <c r="NR131" s="20"/>
      <c r="NS131" s="20"/>
      <c r="NT131" s="20"/>
      <c r="NU131" s="20"/>
      <c r="NV131" s="20"/>
      <c r="NW131" s="20"/>
      <c r="NX131" s="20"/>
      <c r="NY131" s="20"/>
      <c r="NZ131" s="20"/>
      <c r="OA131" s="20"/>
      <c r="OB131" s="20"/>
      <c r="OC131" s="20"/>
      <c r="OD131" s="20"/>
      <c r="OE131" s="20"/>
      <c r="OF131" s="20"/>
      <c r="OG131" s="20"/>
      <c r="OH131" s="20"/>
      <c r="OI131" s="20"/>
      <c r="OJ131" s="20"/>
      <c r="OK131" s="20"/>
      <c r="OL131" s="20"/>
      <c r="OM131" s="20"/>
      <c r="ON131" s="20"/>
      <c r="OO131" s="20"/>
      <c r="OP131" s="20"/>
      <c r="OQ131" s="20"/>
      <c r="OR131" s="20"/>
      <c r="OS131" s="20"/>
      <c r="OT131" s="20"/>
      <c r="OU131" s="20"/>
      <c r="OV131" s="20"/>
      <c r="OW131" s="20"/>
      <c r="OX131" s="20"/>
      <c r="OY131" s="20"/>
      <c r="OZ131" s="20"/>
      <c r="PA131" s="20"/>
      <c r="PB131" s="20"/>
      <c r="PC131" s="20"/>
      <c r="PD131" s="20"/>
      <c r="PE131" s="20"/>
      <c r="PF131" s="20"/>
      <c r="PG131" s="20"/>
      <c r="PH131" s="20"/>
      <c r="PI131" s="20"/>
      <c r="PJ131" s="20"/>
      <c r="PK131" s="20"/>
      <c r="PL131" s="20"/>
      <c r="PM131" s="20"/>
      <c r="PN131" s="20"/>
      <c r="PO131" s="20"/>
      <c r="PP131" s="20"/>
      <c r="PQ131" s="20"/>
      <c r="PR131" s="20"/>
      <c r="PS131" s="20"/>
      <c r="PT131" s="20"/>
      <c r="PU131" s="20"/>
      <c r="PV131" s="20"/>
      <c r="PW131" s="20"/>
      <c r="PX131" s="20"/>
      <c r="PY131" s="20"/>
      <c r="PZ131" s="20"/>
      <c r="QA131" s="20"/>
      <c r="QB131" s="20"/>
      <c r="QC131" s="20"/>
      <c r="QD131" s="20"/>
      <c r="QE131" s="20"/>
      <c r="QF131" s="20"/>
      <c r="QG131" s="20"/>
      <c r="QH131" s="20"/>
      <c r="QI131" s="20"/>
      <c r="QJ131" s="20"/>
      <c r="QK131" s="20"/>
      <c r="QL131" s="20"/>
      <c r="QM131" s="20"/>
      <c r="QN131" s="20"/>
      <c r="QO131" s="20"/>
      <c r="QP131" s="20"/>
      <c r="QQ131" s="20"/>
      <c r="QR131" s="20"/>
      <c r="QS131" s="20"/>
      <c r="QT131" s="20"/>
      <c r="QU131" s="20"/>
      <c r="QV131" s="20"/>
      <c r="QW131" s="20"/>
      <c r="QX131" s="20"/>
      <c r="QY131" s="20"/>
      <c r="QZ131" s="20"/>
      <c r="RA131" s="20"/>
      <c r="RB131" s="20"/>
      <c r="RC131" s="20"/>
      <c r="RD131" s="20"/>
      <c r="RE131" s="20"/>
      <c r="RF131" s="20"/>
      <c r="RG131" s="20"/>
      <c r="RH131" s="20"/>
      <c r="RI131" s="20"/>
      <c r="RJ131" s="20"/>
      <c r="RK131" s="20"/>
      <c r="RL131" s="20"/>
      <c r="RM131" s="20"/>
      <c r="RN131" s="20"/>
      <c r="RO131" s="20"/>
      <c r="RP131" s="20"/>
      <c r="RQ131" s="20"/>
      <c r="RR131" s="20"/>
      <c r="RS131" s="20"/>
      <c r="RT131" s="20"/>
      <c r="RU131" s="20"/>
      <c r="RV131" s="20"/>
      <c r="RW131" s="20"/>
      <c r="RX131" s="20"/>
      <c r="RY131" s="20"/>
      <c r="RZ131" s="20"/>
      <c r="SA131" s="20"/>
      <c r="SB131" s="20"/>
      <c r="SC131" s="20"/>
      <c r="SD131" s="20"/>
      <c r="SE131" s="20"/>
      <c r="SF131" s="20"/>
      <c r="SG131" s="20"/>
      <c r="SH131" s="20"/>
      <c r="SI131" s="20"/>
      <c r="SJ131" s="20"/>
      <c r="SK131" s="20"/>
      <c r="SL131" s="20"/>
      <c r="SM131" s="20"/>
      <c r="SN131" s="20"/>
      <c r="SO131" s="20"/>
      <c r="SP131" s="20"/>
      <c r="SQ131" s="20"/>
      <c r="SR131" s="20"/>
      <c r="SS131" s="20"/>
      <c r="ST131" s="20"/>
      <c r="SU131" s="20"/>
      <c r="SV131" s="20"/>
      <c r="SW131" s="20"/>
      <c r="SX131" s="20"/>
      <c r="SY131" s="20"/>
      <c r="SZ131" s="20"/>
      <c r="TA131" s="20"/>
      <c r="TB131" s="20"/>
      <c r="TC131" s="20"/>
      <c r="TD131" s="20"/>
      <c r="TE131" s="20"/>
      <c r="TF131" s="20"/>
      <c r="TG131" s="20"/>
      <c r="TH131" s="20"/>
      <c r="TI131" s="20"/>
      <c r="TJ131" s="20"/>
      <c r="TK131" s="20"/>
      <c r="TL131" s="20"/>
      <c r="TM131" s="20"/>
      <c r="TN131" s="20"/>
      <c r="TO131" s="20"/>
      <c r="TP131" s="20"/>
      <c r="TQ131" s="20"/>
      <c r="TR131" s="20"/>
      <c r="TS131" s="20"/>
      <c r="TT131" s="20"/>
      <c r="TU131" s="20"/>
      <c r="TV131" s="20"/>
      <c r="TW131" s="20"/>
      <c r="TX131" s="20"/>
      <c r="TY131" s="20"/>
      <c r="TZ131" s="20"/>
      <c r="UA131" s="20"/>
      <c r="UB131" s="20"/>
      <c r="UC131" s="20"/>
      <c r="UD131" s="20"/>
      <c r="UE131" s="20"/>
      <c r="UF131" s="20"/>
      <c r="UG131" s="20"/>
      <c r="UH131" s="20"/>
      <c r="UI131" s="20"/>
      <c r="UJ131" s="20"/>
      <c r="UK131" s="20"/>
      <c r="UL131" s="20"/>
      <c r="UM131" s="20"/>
      <c r="UN131" s="20"/>
      <c r="UO131" s="20"/>
      <c r="UP131" s="20"/>
      <c r="UQ131" s="20"/>
      <c r="UR131" s="20"/>
      <c r="US131" s="20"/>
      <c r="UT131" s="20"/>
      <c r="UU131" s="20"/>
      <c r="UV131" s="20"/>
      <c r="UW131" s="20"/>
      <c r="UX131" s="20"/>
      <c r="UY131" s="20"/>
      <c r="UZ131" s="20"/>
      <c r="VA131" s="20"/>
      <c r="VB131" s="20"/>
      <c r="VC131" s="20"/>
      <c r="VD131" s="20"/>
      <c r="VE131" s="20"/>
      <c r="VF131" s="20"/>
      <c r="VG131" s="20"/>
      <c r="VH131" s="20"/>
      <c r="VI131" s="20"/>
      <c r="VJ131" s="20"/>
      <c r="VK131" s="20"/>
      <c r="VL131" s="20"/>
      <c r="VM131" s="20"/>
      <c r="VN131" s="20"/>
      <c r="VO131" s="20"/>
      <c r="VP131" s="20"/>
      <c r="VQ131" s="20"/>
      <c r="VR131" s="20"/>
      <c r="VS131" s="20"/>
      <c r="VT131" s="20"/>
      <c r="VU131" s="20"/>
      <c r="VV131" s="20"/>
      <c r="VW131" s="20"/>
      <c r="VX131" s="20"/>
      <c r="VY131" s="20"/>
      <c r="VZ131" s="20"/>
      <c r="WA131" s="20"/>
      <c r="WB131" s="20"/>
      <c r="WC131" s="20"/>
      <c r="WD131" s="20"/>
      <c r="WE131" s="20"/>
      <c r="WF131" s="20"/>
      <c r="WG131" s="20"/>
      <c r="WH131" s="20"/>
      <c r="WI131" s="20"/>
      <c r="WJ131" s="20"/>
      <c r="WK131" s="20"/>
      <c r="WL131" s="20"/>
      <c r="WM131" s="20"/>
      <c r="WN131" s="20"/>
      <c r="WO131" s="20"/>
      <c r="WP131" s="20"/>
      <c r="WQ131" s="20"/>
      <c r="WR131" s="20"/>
      <c r="WS131" s="20"/>
      <c r="WT131" s="20"/>
      <c r="WU131" s="20"/>
      <c r="WV131" s="20"/>
      <c r="WW131" s="20"/>
      <c r="WX131" s="20"/>
      <c r="WY131" s="20"/>
      <c r="WZ131" s="20"/>
      <c r="XA131" s="20"/>
      <c r="XB131" s="20"/>
      <c r="XC131" s="20"/>
      <c r="XD131" s="20"/>
      <c r="XE131" s="20"/>
      <c r="XF131" s="20"/>
      <c r="XG131" s="20"/>
      <c r="XH131" s="20"/>
      <c r="XI131" s="20"/>
      <c r="XJ131" s="20"/>
      <c r="XK131" s="20"/>
      <c r="XL131" s="20"/>
      <c r="XM131" s="20"/>
      <c r="XN131" s="20"/>
      <c r="XO131" s="20"/>
      <c r="XP131" s="20"/>
      <c r="XQ131" s="20"/>
      <c r="XR131" s="20"/>
      <c r="XS131" s="20"/>
      <c r="XT131" s="20"/>
      <c r="XU131" s="20"/>
      <c r="XV131" s="20"/>
      <c r="XW131" s="20"/>
      <c r="XX131" s="20"/>
      <c r="XY131" s="20"/>
      <c r="XZ131" s="20"/>
      <c r="YA131" s="20"/>
      <c r="YB131" s="20"/>
      <c r="YC131" s="20"/>
      <c r="YD131" s="20"/>
      <c r="YE131" s="20"/>
      <c r="YF131" s="20"/>
      <c r="YG131" s="20"/>
      <c r="YH131" s="20"/>
      <c r="YI131" s="20"/>
      <c r="YJ131" s="20"/>
      <c r="YK131" s="20"/>
      <c r="YL131" s="20"/>
      <c r="YM131" s="20"/>
      <c r="YN131" s="20"/>
      <c r="YO131" s="20"/>
      <c r="YP131" s="20"/>
      <c r="YQ131" s="20"/>
      <c r="YR131" s="20"/>
      <c r="YS131" s="20"/>
      <c r="YT131" s="20"/>
      <c r="YU131" s="20"/>
      <c r="YV131" s="20"/>
      <c r="YW131" s="20"/>
      <c r="YX131" s="20"/>
      <c r="YY131" s="20"/>
      <c r="YZ131" s="20"/>
      <c r="ZA131" s="20"/>
      <c r="ZB131" s="20"/>
      <c r="ZC131" s="20"/>
      <c r="ZD131" s="20"/>
      <c r="ZE131" s="20"/>
      <c r="ZF131" s="20"/>
      <c r="ZG131" s="20"/>
      <c r="ZH131" s="20"/>
      <c r="ZI131" s="20"/>
      <c r="ZJ131" s="20"/>
      <c r="ZK131" s="20"/>
      <c r="ZL131" s="20"/>
      <c r="ZM131" s="20"/>
      <c r="ZN131" s="20"/>
      <c r="ZO131" s="20"/>
      <c r="ZP131" s="20"/>
      <c r="ZQ131" s="20"/>
      <c r="ZR131" s="20"/>
      <c r="ZS131" s="20"/>
      <c r="ZT131" s="20"/>
      <c r="ZU131" s="20"/>
      <c r="ZV131" s="20"/>
      <c r="ZW131" s="20"/>
      <c r="ZX131" s="20"/>
      <c r="ZY131" s="20"/>
      <c r="ZZ131" s="20"/>
      <c r="AAA131" s="20"/>
      <c r="AAB131" s="20"/>
      <c r="AAC131" s="20"/>
      <c r="AAD131" s="20"/>
      <c r="AAE131" s="20"/>
      <c r="AAF131" s="20"/>
      <c r="AAG131" s="20"/>
      <c r="AAH131" s="20"/>
      <c r="AAI131" s="20"/>
      <c r="AAJ131" s="20"/>
      <c r="AAK131" s="20"/>
      <c r="AAL131" s="20"/>
      <c r="AAM131" s="20"/>
      <c r="AAN131" s="20"/>
      <c r="AAO131" s="20"/>
      <c r="AAP131" s="20"/>
      <c r="AAQ131" s="20"/>
      <c r="AAR131" s="20"/>
      <c r="AAS131" s="20"/>
      <c r="AAT131" s="20"/>
      <c r="AAU131" s="20"/>
      <c r="AAV131" s="20"/>
      <c r="AAW131" s="20"/>
      <c r="AAX131" s="20"/>
      <c r="AAY131" s="20"/>
      <c r="AAZ131" s="20"/>
      <c r="ABA131" s="20"/>
      <c r="ABB131" s="20"/>
      <c r="ABC131" s="20"/>
      <c r="ABD131" s="20"/>
      <c r="ABE131" s="20"/>
      <c r="ABF131" s="20"/>
      <c r="ABG131" s="20"/>
      <c r="ABH131" s="20"/>
      <c r="ABI131" s="20"/>
      <c r="ABJ131" s="20"/>
      <c r="ABK131" s="20"/>
      <c r="ABL131" s="20"/>
      <c r="ABM131" s="20"/>
      <c r="ABN131" s="20"/>
      <c r="ABO131" s="20"/>
      <c r="ABP131" s="20"/>
      <c r="ABQ131" s="20"/>
      <c r="ABR131" s="20"/>
      <c r="ABS131" s="20"/>
      <c r="ABT131" s="20"/>
      <c r="ABU131" s="20"/>
      <c r="ABV131" s="20"/>
      <c r="ABW131" s="20"/>
      <c r="ABX131" s="20"/>
      <c r="ABY131" s="20"/>
      <c r="ABZ131" s="20"/>
      <c r="ACA131" s="20"/>
      <c r="ACB131" s="20"/>
      <c r="ACC131" s="20"/>
      <c r="ACD131" s="20"/>
      <c r="ACE131" s="20"/>
      <c r="ACF131" s="20"/>
      <c r="ACG131" s="20"/>
      <c r="ACH131" s="20"/>
      <c r="ACI131" s="20"/>
      <c r="ACJ131" s="20"/>
      <c r="ACK131" s="20"/>
      <c r="ACL131" s="20"/>
      <c r="ACM131" s="20"/>
      <c r="ACN131" s="20"/>
      <c r="ACO131" s="20"/>
      <c r="ACP131" s="20"/>
      <c r="ACQ131" s="20"/>
    </row>
    <row r="132" spans="1:771" s="62" customFormat="1" ht="68.099999999999994">
      <c r="A132" s="20"/>
      <c r="B132" s="63" t="s">
        <v>585</v>
      </c>
      <c r="C132" s="96"/>
      <c r="D132" s="63" t="s">
        <v>586</v>
      </c>
      <c r="E132" s="96"/>
      <c r="F132" s="63" t="s">
        <v>254</v>
      </c>
      <c r="G132" s="96"/>
      <c r="H132" s="63" t="s">
        <v>72</v>
      </c>
      <c r="I132" s="96"/>
      <c r="J132" s="63" t="s">
        <v>587</v>
      </c>
      <c r="K132" s="96"/>
      <c r="L132" s="61" t="s">
        <v>74</v>
      </c>
      <c r="M132" s="96"/>
      <c r="N132" s="63" t="s">
        <v>103</v>
      </c>
      <c r="O132" s="96"/>
      <c r="P132" s="63" t="s">
        <v>588</v>
      </c>
      <c r="Q132" s="69"/>
      <c r="R132" s="61" t="s">
        <v>77</v>
      </c>
      <c r="S132" s="69"/>
      <c r="T132" s="65" t="s">
        <v>589</v>
      </c>
      <c r="U132" s="66"/>
      <c r="V132" s="67" t="s">
        <v>79</v>
      </c>
      <c r="W132" s="68"/>
      <c r="X132" s="67" t="s">
        <v>80</v>
      </c>
      <c r="Y132" s="68"/>
      <c r="Z132" s="67" t="s">
        <v>80</v>
      </c>
      <c r="AA132" s="68"/>
      <c r="AB132" s="63" t="s">
        <v>425</v>
      </c>
      <c r="AD132" s="63" t="s">
        <v>590</v>
      </c>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c r="IV132" s="20"/>
      <c r="IW132" s="20"/>
      <c r="IX132" s="20"/>
      <c r="IY132" s="20"/>
      <c r="IZ132" s="20"/>
      <c r="JA132" s="20"/>
      <c r="JB132" s="20"/>
      <c r="JC132" s="20"/>
      <c r="JD132" s="20"/>
      <c r="JE132" s="20"/>
      <c r="JF132" s="20"/>
      <c r="JG132" s="20"/>
      <c r="JH132" s="20"/>
      <c r="JI132" s="20"/>
      <c r="JJ132" s="20"/>
      <c r="JK132" s="20"/>
      <c r="JL132" s="20"/>
      <c r="JM132" s="20"/>
      <c r="JN132" s="20"/>
      <c r="JO132" s="20"/>
      <c r="JP132" s="20"/>
      <c r="JQ132" s="20"/>
      <c r="JR132" s="20"/>
      <c r="JS132" s="20"/>
      <c r="JT132" s="20"/>
      <c r="JU132" s="20"/>
      <c r="JV132" s="20"/>
      <c r="JW132" s="20"/>
      <c r="JX132" s="20"/>
      <c r="JY132" s="20"/>
      <c r="JZ132" s="20"/>
      <c r="KA132" s="20"/>
      <c r="KB132" s="20"/>
      <c r="KC132" s="20"/>
      <c r="KD132" s="20"/>
      <c r="KE132" s="20"/>
      <c r="KF132" s="20"/>
      <c r="KG132" s="20"/>
      <c r="KH132" s="20"/>
      <c r="KI132" s="20"/>
      <c r="KJ132" s="20"/>
      <c r="KK132" s="20"/>
      <c r="KL132" s="20"/>
      <c r="KM132" s="20"/>
      <c r="KN132" s="20"/>
      <c r="KO132" s="20"/>
      <c r="KP132" s="20"/>
      <c r="KQ132" s="20"/>
      <c r="KR132" s="20"/>
      <c r="KS132" s="20"/>
      <c r="KT132" s="20"/>
      <c r="KU132" s="20"/>
      <c r="KV132" s="20"/>
      <c r="KW132" s="20"/>
      <c r="KX132" s="20"/>
      <c r="KY132" s="20"/>
      <c r="KZ132" s="20"/>
      <c r="LA132" s="20"/>
      <c r="LB132" s="20"/>
      <c r="LC132" s="20"/>
      <c r="LD132" s="20"/>
      <c r="LE132" s="20"/>
      <c r="LF132" s="20"/>
      <c r="LG132" s="20"/>
      <c r="LH132" s="20"/>
      <c r="LI132" s="20"/>
      <c r="LJ132" s="20"/>
      <c r="LK132" s="20"/>
      <c r="LL132" s="20"/>
      <c r="LM132" s="20"/>
      <c r="LN132" s="20"/>
      <c r="LO132" s="20"/>
      <c r="LP132" s="20"/>
      <c r="LQ132" s="20"/>
      <c r="LR132" s="20"/>
      <c r="LS132" s="20"/>
      <c r="LT132" s="20"/>
      <c r="LU132" s="20"/>
      <c r="LV132" s="20"/>
      <c r="LW132" s="20"/>
      <c r="LX132" s="20"/>
      <c r="LY132" s="20"/>
      <c r="LZ132" s="20"/>
      <c r="MA132" s="20"/>
      <c r="MB132" s="20"/>
      <c r="MC132" s="20"/>
      <c r="MD132" s="20"/>
      <c r="ME132" s="20"/>
      <c r="MF132" s="20"/>
      <c r="MG132" s="20"/>
      <c r="MH132" s="20"/>
      <c r="MI132" s="20"/>
      <c r="MJ132" s="20"/>
      <c r="MK132" s="20"/>
      <c r="ML132" s="20"/>
      <c r="MM132" s="20"/>
      <c r="MN132" s="20"/>
      <c r="MO132" s="20"/>
      <c r="MP132" s="20"/>
      <c r="MQ132" s="20"/>
      <c r="MR132" s="20"/>
      <c r="MS132" s="20"/>
      <c r="MT132" s="20"/>
      <c r="MU132" s="20"/>
      <c r="MV132" s="20"/>
      <c r="MW132" s="20"/>
      <c r="MX132" s="20"/>
      <c r="MY132" s="20"/>
      <c r="MZ132" s="20"/>
      <c r="NA132" s="20"/>
      <c r="NB132" s="20"/>
      <c r="NC132" s="20"/>
      <c r="ND132" s="20"/>
      <c r="NE132" s="20"/>
      <c r="NF132" s="20"/>
      <c r="NG132" s="20"/>
      <c r="NH132" s="20"/>
      <c r="NI132" s="20"/>
      <c r="NJ132" s="20"/>
      <c r="NK132" s="20"/>
      <c r="NL132" s="20"/>
      <c r="NM132" s="20"/>
      <c r="NN132" s="20"/>
      <c r="NO132" s="20"/>
      <c r="NP132" s="20"/>
      <c r="NQ132" s="20"/>
      <c r="NR132" s="20"/>
      <c r="NS132" s="20"/>
      <c r="NT132" s="20"/>
      <c r="NU132" s="20"/>
      <c r="NV132" s="20"/>
      <c r="NW132" s="20"/>
      <c r="NX132" s="20"/>
      <c r="NY132" s="20"/>
      <c r="NZ132" s="20"/>
      <c r="OA132" s="20"/>
      <c r="OB132" s="20"/>
      <c r="OC132" s="20"/>
      <c r="OD132" s="20"/>
      <c r="OE132" s="20"/>
      <c r="OF132" s="20"/>
      <c r="OG132" s="20"/>
      <c r="OH132" s="20"/>
      <c r="OI132" s="20"/>
      <c r="OJ132" s="20"/>
      <c r="OK132" s="20"/>
      <c r="OL132" s="20"/>
      <c r="OM132" s="20"/>
      <c r="ON132" s="20"/>
      <c r="OO132" s="20"/>
      <c r="OP132" s="20"/>
      <c r="OQ132" s="20"/>
      <c r="OR132" s="20"/>
      <c r="OS132" s="20"/>
      <c r="OT132" s="20"/>
      <c r="OU132" s="20"/>
      <c r="OV132" s="20"/>
      <c r="OW132" s="20"/>
      <c r="OX132" s="20"/>
      <c r="OY132" s="20"/>
      <c r="OZ132" s="20"/>
      <c r="PA132" s="20"/>
      <c r="PB132" s="20"/>
      <c r="PC132" s="20"/>
      <c r="PD132" s="20"/>
      <c r="PE132" s="20"/>
      <c r="PF132" s="20"/>
      <c r="PG132" s="20"/>
      <c r="PH132" s="20"/>
      <c r="PI132" s="20"/>
      <c r="PJ132" s="20"/>
      <c r="PK132" s="20"/>
      <c r="PL132" s="20"/>
      <c r="PM132" s="20"/>
      <c r="PN132" s="20"/>
      <c r="PO132" s="20"/>
      <c r="PP132" s="20"/>
      <c r="PQ132" s="20"/>
      <c r="PR132" s="20"/>
      <c r="PS132" s="20"/>
      <c r="PT132" s="20"/>
      <c r="PU132" s="20"/>
      <c r="PV132" s="20"/>
      <c r="PW132" s="20"/>
      <c r="PX132" s="20"/>
      <c r="PY132" s="20"/>
      <c r="PZ132" s="20"/>
      <c r="QA132" s="20"/>
      <c r="QB132" s="20"/>
      <c r="QC132" s="20"/>
      <c r="QD132" s="20"/>
      <c r="QE132" s="20"/>
      <c r="QF132" s="20"/>
      <c r="QG132" s="20"/>
      <c r="QH132" s="20"/>
      <c r="QI132" s="20"/>
      <c r="QJ132" s="20"/>
      <c r="QK132" s="20"/>
      <c r="QL132" s="20"/>
      <c r="QM132" s="20"/>
      <c r="QN132" s="20"/>
      <c r="QO132" s="20"/>
      <c r="QP132" s="20"/>
      <c r="QQ132" s="20"/>
      <c r="QR132" s="20"/>
      <c r="QS132" s="20"/>
      <c r="QT132" s="20"/>
      <c r="QU132" s="20"/>
      <c r="QV132" s="20"/>
      <c r="QW132" s="20"/>
      <c r="QX132" s="20"/>
      <c r="QY132" s="20"/>
      <c r="QZ132" s="20"/>
      <c r="RA132" s="20"/>
      <c r="RB132" s="20"/>
      <c r="RC132" s="20"/>
      <c r="RD132" s="20"/>
      <c r="RE132" s="20"/>
      <c r="RF132" s="20"/>
      <c r="RG132" s="20"/>
      <c r="RH132" s="20"/>
      <c r="RI132" s="20"/>
      <c r="RJ132" s="20"/>
      <c r="RK132" s="20"/>
      <c r="RL132" s="20"/>
      <c r="RM132" s="20"/>
      <c r="RN132" s="20"/>
      <c r="RO132" s="20"/>
      <c r="RP132" s="20"/>
      <c r="RQ132" s="20"/>
      <c r="RR132" s="20"/>
      <c r="RS132" s="20"/>
      <c r="RT132" s="20"/>
      <c r="RU132" s="20"/>
      <c r="RV132" s="20"/>
      <c r="RW132" s="20"/>
      <c r="RX132" s="20"/>
      <c r="RY132" s="20"/>
      <c r="RZ132" s="20"/>
      <c r="SA132" s="20"/>
      <c r="SB132" s="20"/>
      <c r="SC132" s="20"/>
      <c r="SD132" s="20"/>
      <c r="SE132" s="20"/>
      <c r="SF132" s="20"/>
      <c r="SG132" s="20"/>
      <c r="SH132" s="20"/>
      <c r="SI132" s="20"/>
      <c r="SJ132" s="20"/>
      <c r="SK132" s="20"/>
      <c r="SL132" s="20"/>
      <c r="SM132" s="20"/>
      <c r="SN132" s="20"/>
      <c r="SO132" s="20"/>
      <c r="SP132" s="20"/>
      <c r="SQ132" s="20"/>
      <c r="SR132" s="20"/>
      <c r="SS132" s="20"/>
      <c r="ST132" s="20"/>
      <c r="SU132" s="20"/>
      <c r="SV132" s="20"/>
      <c r="SW132" s="20"/>
      <c r="SX132" s="20"/>
      <c r="SY132" s="20"/>
      <c r="SZ132" s="20"/>
      <c r="TA132" s="20"/>
      <c r="TB132" s="20"/>
      <c r="TC132" s="20"/>
      <c r="TD132" s="20"/>
      <c r="TE132" s="20"/>
      <c r="TF132" s="20"/>
      <c r="TG132" s="20"/>
      <c r="TH132" s="20"/>
      <c r="TI132" s="20"/>
      <c r="TJ132" s="20"/>
      <c r="TK132" s="20"/>
      <c r="TL132" s="20"/>
      <c r="TM132" s="20"/>
      <c r="TN132" s="20"/>
      <c r="TO132" s="20"/>
      <c r="TP132" s="20"/>
      <c r="TQ132" s="20"/>
      <c r="TR132" s="20"/>
      <c r="TS132" s="20"/>
      <c r="TT132" s="20"/>
      <c r="TU132" s="20"/>
      <c r="TV132" s="20"/>
      <c r="TW132" s="20"/>
      <c r="TX132" s="20"/>
      <c r="TY132" s="20"/>
      <c r="TZ132" s="20"/>
      <c r="UA132" s="20"/>
      <c r="UB132" s="20"/>
      <c r="UC132" s="20"/>
      <c r="UD132" s="20"/>
      <c r="UE132" s="20"/>
      <c r="UF132" s="20"/>
      <c r="UG132" s="20"/>
      <c r="UH132" s="20"/>
      <c r="UI132" s="20"/>
      <c r="UJ132" s="20"/>
      <c r="UK132" s="20"/>
      <c r="UL132" s="20"/>
      <c r="UM132" s="20"/>
      <c r="UN132" s="20"/>
      <c r="UO132" s="20"/>
      <c r="UP132" s="20"/>
      <c r="UQ132" s="20"/>
      <c r="UR132" s="20"/>
      <c r="US132" s="20"/>
      <c r="UT132" s="20"/>
      <c r="UU132" s="20"/>
      <c r="UV132" s="20"/>
      <c r="UW132" s="20"/>
      <c r="UX132" s="20"/>
      <c r="UY132" s="20"/>
      <c r="UZ132" s="20"/>
      <c r="VA132" s="20"/>
      <c r="VB132" s="20"/>
      <c r="VC132" s="20"/>
      <c r="VD132" s="20"/>
      <c r="VE132" s="20"/>
      <c r="VF132" s="20"/>
      <c r="VG132" s="20"/>
      <c r="VH132" s="20"/>
      <c r="VI132" s="20"/>
      <c r="VJ132" s="20"/>
      <c r="VK132" s="20"/>
      <c r="VL132" s="20"/>
      <c r="VM132" s="20"/>
      <c r="VN132" s="20"/>
      <c r="VO132" s="20"/>
      <c r="VP132" s="20"/>
      <c r="VQ132" s="20"/>
      <c r="VR132" s="20"/>
      <c r="VS132" s="20"/>
      <c r="VT132" s="20"/>
      <c r="VU132" s="20"/>
      <c r="VV132" s="20"/>
      <c r="VW132" s="20"/>
      <c r="VX132" s="20"/>
      <c r="VY132" s="20"/>
      <c r="VZ132" s="20"/>
      <c r="WA132" s="20"/>
      <c r="WB132" s="20"/>
      <c r="WC132" s="20"/>
      <c r="WD132" s="20"/>
      <c r="WE132" s="20"/>
      <c r="WF132" s="20"/>
      <c r="WG132" s="20"/>
      <c r="WH132" s="20"/>
      <c r="WI132" s="20"/>
      <c r="WJ132" s="20"/>
      <c r="WK132" s="20"/>
      <c r="WL132" s="20"/>
      <c r="WM132" s="20"/>
      <c r="WN132" s="20"/>
      <c r="WO132" s="20"/>
      <c r="WP132" s="20"/>
      <c r="WQ132" s="20"/>
      <c r="WR132" s="20"/>
      <c r="WS132" s="20"/>
      <c r="WT132" s="20"/>
      <c r="WU132" s="20"/>
      <c r="WV132" s="20"/>
      <c r="WW132" s="20"/>
      <c r="WX132" s="20"/>
      <c r="WY132" s="20"/>
      <c r="WZ132" s="20"/>
      <c r="XA132" s="20"/>
      <c r="XB132" s="20"/>
      <c r="XC132" s="20"/>
      <c r="XD132" s="20"/>
      <c r="XE132" s="20"/>
      <c r="XF132" s="20"/>
      <c r="XG132" s="20"/>
      <c r="XH132" s="20"/>
      <c r="XI132" s="20"/>
      <c r="XJ132" s="20"/>
      <c r="XK132" s="20"/>
      <c r="XL132" s="20"/>
      <c r="XM132" s="20"/>
      <c r="XN132" s="20"/>
      <c r="XO132" s="20"/>
      <c r="XP132" s="20"/>
      <c r="XQ132" s="20"/>
      <c r="XR132" s="20"/>
      <c r="XS132" s="20"/>
      <c r="XT132" s="20"/>
      <c r="XU132" s="20"/>
      <c r="XV132" s="20"/>
      <c r="XW132" s="20"/>
      <c r="XX132" s="20"/>
      <c r="XY132" s="20"/>
      <c r="XZ132" s="20"/>
      <c r="YA132" s="20"/>
      <c r="YB132" s="20"/>
      <c r="YC132" s="20"/>
      <c r="YD132" s="20"/>
      <c r="YE132" s="20"/>
      <c r="YF132" s="20"/>
      <c r="YG132" s="20"/>
      <c r="YH132" s="20"/>
      <c r="YI132" s="20"/>
      <c r="YJ132" s="20"/>
      <c r="YK132" s="20"/>
      <c r="YL132" s="20"/>
      <c r="YM132" s="20"/>
      <c r="YN132" s="20"/>
      <c r="YO132" s="20"/>
      <c r="YP132" s="20"/>
      <c r="YQ132" s="20"/>
      <c r="YR132" s="20"/>
      <c r="YS132" s="20"/>
      <c r="YT132" s="20"/>
      <c r="YU132" s="20"/>
      <c r="YV132" s="20"/>
      <c r="YW132" s="20"/>
      <c r="YX132" s="20"/>
      <c r="YY132" s="20"/>
      <c r="YZ132" s="20"/>
      <c r="ZA132" s="20"/>
      <c r="ZB132" s="20"/>
      <c r="ZC132" s="20"/>
      <c r="ZD132" s="20"/>
      <c r="ZE132" s="20"/>
      <c r="ZF132" s="20"/>
      <c r="ZG132" s="20"/>
      <c r="ZH132" s="20"/>
      <c r="ZI132" s="20"/>
      <c r="ZJ132" s="20"/>
      <c r="ZK132" s="20"/>
      <c r="ZL132" s="20"/>
      <c r="ZM132" s="20"/>
      <c r="ZN132" s="20"/>
      <c r="ZO132" s="20"/>
      <c r="ZP132" s="20"/>
      <c r="ZQ132" s="20"/>
      <c r="ZR132" s="20"/>
      <c r="ZS132" s="20"/>
      <c r="ZT132" s="20"/>
      <c r="ZU132" s="20"/>
      <c r="ZV132" s="20"/>
      <c r="ZW132" s="20"/>
      <c r="ZX132" s="20"/>
      <c r="ZY132" s="20"/>
      <c r="ZZ132" s="20"/>
      <c r="AAA132" s="20"/>
      <c r="AAB132" s="20"/>
      <c r="AAC132" s="20"/>
      <c r="AAD132" s="20"/>
      <c r="AAE132" s="20"/>
      <c r="AAF132" s="20"/>
      <c r="AAG132" s="20"/>
      <c r="AAH132" s="20"/>
      <c r="AAI132" s="20"/>
      <c r="AAJ132" s="20"/>
      <c r="AAK132" s="20"/>
      <c r="AAL132" s="20"/>
      <c r="AAM132" s="20"/>
      <c r="AAN132" s="20"/>
      <c r="AAO132" s="20"/>
      <c r="AAP132" s="20"/>
      <c r="AAQ132" s="20"/>
      <c r="AAR132" s="20"/>
      <c r="AAS132" s="20"/>
      <c r="AAT132" s="20"/>
      <c r="AAU132" s="20"/>
      <c r="AAV132" s="20"/>
      <c r="AAW132" s="20"/>
      <c r="AAX132" s="20"/>
      <c r="AAY132" s="20"/>
      <c r="AAZ132" s="20"/>
      <c r="ABA132" s="20"/>
      <c r="ABB132" s="20"/>
      <c r="ABC132" s="20"/>
      <c r="ABD132" s="20"/>
      <c r="ABE132" s="20"/>
      <c r="ABF132" s="20"/>
      <c r="ABG132" s="20"/>
      <c r="ABH132" s="20"/>
      <c r="ABI132" s="20"/>
      <c r="ABJ132" s="20"/>
      <c r="ABK132" s="20"/>
      <c r="ABL132" s="20"/>
      <c r="ABM132" s="20"/>
      <c r="ABN132" s="20"/>
      <c r="ABO132" s="20"/>
      <c r="ABP132" s="20"/>
      <c r="ABQ132" s="20"/>
      <c r="ABR132" s="20"/>
      <c r="ABS132" s="20"/>
      <c r="ABT132" s="20"/>
      <c r="ABU132" s="20"/>
      <c r="ABV132" s="20"/>
      <c r="ABW132" s="20"/>
      <c r="ABX132" s="20"/>
      <c r="ABY132" s="20"/>
      <c r="ABZ132" s="20"/>
      <c r="ACA132" s="20"/>
      <c r="ACB132" s="20"/>
      <c r="ACC132" s="20"/>
      <c r="ACD132" s="20"/>
      <c r="ACE132" s="20"/>
      <c r="ACF132" s="20"/>
      <c r="ACG132" s="20"/>
      <c r="ACH132" s="20"/>
      <c r="ACI132" s="20"/>
      <c r="ACJ132" s="20"/>
      <c r="ACK132" s="20"/>
      <c r="ACL132" s="20"/>
      <c r="ACM132" s="20"/>
      <c r="ACN132" s="20"/>
      <c r="ACO132" s="20"/>
      <c r="ACP132" s="20"/>
      <c r="ACQ132" s="20"/>
    </row>
    <row r="133" spans="1:771" s="62" customFormat="1" ht="68.099999999999994">
      <c r="A133" s="21"/>
      <c r="B133" s="63" t="s">
        <v>591</v>
      </c>
      <c r="C133" s="96"/>
      <c r="D133" s="63" t="s">
        <v>592</v>
      </c>
      <c r="E133" s="96"/>
      <c r="F133" s="63" t="s">
        <v>254</v>
      </c>
      <c r="G133" s="96"/>
      <c r="H133" s="63" t="s">
        <v>364</v>
      </c>
      <c r="I133" s="96"/>
      <c r="J133" s="63" t="s">
        <v>587</v>
      </c>
      <c r="K133" s="96"/>
      <c r="L133" s="61" t="s">
        <v>74</v>
      </c>
      <c r="M133" s="96"/>
      <c r="N133" s="63" t="s">
        <v>103</v>
      </c>
      <c r="O133" s="96"/>
      <c r="P133" s="63" t="s">
        <v>593</v>
      </c>
      <c r="Q133" s="69"/>
      <c r="R133" s="61" t="s">
        <v>77</v>
      </c>
      <c r="S133" s="69"/>
      <c r="T133" s="65" t="s">
        <v>594</v>
      </c>
      <c r="U133" s="66"/>
      <c r="V133" s="67" t="s">
        <v>80</v>
      </c>
      <c r="W133" s="68"/>
      <c r="X133" s="67" t="s">
        <v>80</v>
      </c>
      <c r="Y133" s="68"/>
      <c r="Z133" s="67" t="s">
        <v>80</v>
      </c>
      <c r="AA133" s="68"/>
      <c r="AB133" s="63" t="s">
        <v>595</v>
      </c>
      <c r="AD133" s="63" t="s">
        <v>596</v>
      </c>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c r="IW133" s="20"/>
      <c r="IX133" s="20"/>
      <c r="IY133" s="20"/>
      <c r="IZ133" s="20"/>
      <c r="JA133" s="20"/>
      <c r="JB133" s="20"/>
      <c r="JC133" s="20"/>
      <c r="JD133" s="20"/>
      <c r="JE133" s="20"/>
      <c r="JF133" s="20"/>
      <c r="JG133" s="20"/>
      <c r="JH133" s="20"/>
      <c r="JI133" s="20"/>
      <c r="JJ133" s="20"/>
      <c r="JK133" s="20"/>
      <c r="JL133" s="20"/>
      <c r="JM133" s="20"/>
      <c r="JN133" s="20"/>
      <c r="JO133" s="20"/>
      <c r="JP133" s="20"/>
      <c r="JQ133" s="20"/>
      <c r="JR133" s="20"/>
      <c r="JS133" s="20"/>
      <c r="JT133" s="20"/>
      <c r="JU133" s="20"/>
      <c r="JV133" s="20"/>
      <c r="JW133" s="20"/>
      <c r="JX133" s="20"/>
      <c r="JY133" s="20"/>
      <c r="JZ133" s="20"/>
      <c r="KA133" s="20"/>
      <c r="KB133" s="20"/>
      <c r="KC133" s="20"/>
      <c r="KD133" s="20"/>
      <c r="KE133" s="20"/>
      <c r="KF133" s="20"/>
      <c r="KG133" s="20"/>
      <c r="KH133" s="20"/>
      <c r="KI133" s="20"/>
      <c r="KJ133" s="20"/>
      <c r="KK133" s="20"/>
      <c r="KL133" s="20"/>
      <c r="KM133" s="20"/>
      <c r="KN133" s="20"/>
      <c r="KO133" s="20"/>
      <c r="KP133" s="20"/>
      <c r="KQ133" s="20"/>
      <c r="KR133" s="20"/>
      <c r="KS133" s="20"/>
      <c r="KT133" s="20"/>
      <c r="KU133" s="20"/>
      <c r="KV133" s="20"/>
      <c r="KW133" s="20"/>
      <c r="KX133" s="20"/>
      <c r="KY133" s="20"/>
      <c r="KZ133" s="20"/>
      <c r="LA133" s="20"/>
      <c r="LB133" s="20"/>
      <c r="LC133" s="20"/>
      <c r="LD133" s="20"/>
      <c r="LE133" s="20"/>
      <c r="LF133" s="20"/>
      <c r="LG133" s="20"/>
      <c r="LH133" s="20"/>
      <c r="LI133" s="20"/>
      <c r="LJ133" s="20"/>
      <c r="LK133" s="20"/>
      <c r="LL133" s="20"/>
      <c r="LM133" s="20"/>
      <c r="LN133" s="20"/>
      <c r="LO133" s="20"/>
      <c r="LP133" s="20"/>
      <c r="LQ133" s="20"/>
      <c r="LR133" s="20"/>
      <c r="LS133" s="20"/>
      <c r="LT133" s="20"/>
      <c r="LU133" s="20"/>
      <c r="LV133" s="20"/>
      <c r="LW133" s="20"/>
      <c r="LX133" s="20"/>
      <c r="LY133" s="20"/>
      <c r="LZ133" s="20"/>
      <c r="MA133" s="20"/>
      <c r="MB133" s="20"/>
      <c r="MC133" s="20"/>
      <c r="MD133" s="20"/>
      <c r="ME133" s="20"/>
      <c r="MF133" s="20"/>
      <c r="MG133" s="20"/>
      <c r="MH133" s="20"/>
      <c r="MI133" s="20"/>
      <c r="MJ133" s="20"/>
      <c r="MK133" s="20"/>
      <c r="ML133" s="20"/>
      <c r="MM133" s="20"/>
      <c r="MN133" s="20"/>
      <c r="MO133" s="20"/>
      <c r="MP133" s="20"/>
      <c r="MQ133" s="20"/>
      <c r="MR133" s="20"/>
      <c r="MS133" s="20"/>
      <c r="MT133" s="20"/>
      <c r="MU133" s="20"/>
      <c r="MV133" s="20"/>
      <c r="MW133" s="20"/>
      <c r="MX133" s="20"/>
      <c r="MY133" s="20"/>
      <c r="MZ133" s="20"/>
      <c r="NA133" s="20"/>
      <c r="NB133" s="20"/>
      <c r="NC133" s="20"/>
      <c r="ND133" s="20"/>
      <c r="NE133" s="20"/>
      <c r="NF133" s="20"/>
      <c r="NG133" s="20"/>
      <c r="NH133" s="20"/>
      <c r="NI133" s="20"/>
      <c r="NJ133" s="20"/>
      <c r="NK133" s="20"/>
      <c r="NL133" s="20"/>
      <c r="NM133" s="20"/>
      <c r="NN133" s="20"/>
      <c r="NO133" s="20"/>
      <c r="NP133" s="20"/>
      <c r="NQ133" s="20"/>
      <c r="NR133" s="20"/>
      <c r="NS133" s="20"/>
      <c r="NT133" s="20"/>
      <c r="NU133" s="20"/>
      <c r="NV133" s="20"/>
      <c r="NW133" s="20"/>
      <c r="NX133" s="20"/>
      <c r="NY133" s="20"/>
      <c r="NZ133" s="20"/>
      <c r="OA133" s="20"/>
      <c r="OB133" s="20"/>
      <c r="OC133" s="20"/>
      <c r="OD133" s="20"/>
      <c r="OE133" s="20"/>
      <c r="OF133" s="20"/>
      <c r="OG133" s="20"/>
      <c r="OH133" s="20"/>
      <c r="OI133" s="20"/>
      <c r="OJ133" s="20"/>
      <c r="OK133" s="20"/>
      <c r="OL133" s="20"/>
      <c r="OM133" s="20"/>
      <c r="ON133" s="20"/>
      <c r="OO133" s="20"/>
      <c r="OP133" s="20"/>
      <c r="OQ133" s="20"/>
      <c r="OR133" s="20"/>
      <c r="OS133" s="20"/>
      <c r="OT133" s="20"/>
      <c r="OU133" s="20"/>
      <c r="OV133" s="20"/>
      <c r="OW133" s="20"/>
      <c r="OX133" s="20"/>
      <c r="OY133" s="20"/>
      <c r="OZ133" s="20"/>
      <c r="PA133" s="20"/>
      <c r="PB133" s="20"/>
      <c r="PC133" s="20"/>
      <c r="PD133" s="20"/>
      <c r="PE133" s="20"/>
      <c r="PF133" s="20"/>
      <c r="PG133" s="20"/>
      <c r="PH133" s="20"/>
      <c r="PI133" s="20"/>
      <c r="PJ133" s="20"/>
      <c r="PK133" s="20"/>
      <c r="PL133" s="20"/>
      <c r="PM133" s="20"/>
      <c r="PN133" s="20"/>
      <c r="PO133" s="20"/>
      <c r="PP133" s="20"/>
      <c r="PQ133" s="20"/>
      <c r="PR133" s="20"/>
      <c r="PS133" s="20"/>
      <c r="PT133" s="20"/>
      <c r="PU133" s="20"/>
      <c r="PV133" s="20"/>
      <c r="PW133" s="20"/>
      <c r="PX133" s="20"/>
      <c r="PY133" s="20"/>
      <c r="PZ133" s="20"/>
      <c r="QA133" s="20"/>
      <c r="QB133" s="20"/>
      <c r="QC133" s="20"/>
      <c r="QD133" s="20"/>
      <c r="QE133" s="20"/>
      <c r="QF133" s="20"/>
      <c r="QG133" s="20"/>
      <c r="QH133" s="20"/>
      <c r="QI133" s="20"/>
      <c r="QJ133" s="20"/>
      <c r="QK133" s="20"/>
      <c r="QL133" s="20"/>
      <c r="QM133" s="20"/>
      <c r="QN133" s="20"/>
      <c r="QO133" s="20"/>
      <c r="QP133" s="20"/>
      <c r="QQ133" s="20"/>
      <c r="QR133" s="20"/>
      <c r="QS133" s="20"/>
      <c r="QT133" s="20"/>
      <c r="QU133" s="20"/>
      <c r="QV133" s="20"/>
      <c r="QW133" s="20"/>
      <c r="QX133" s="20"/>
      <c r="QY133" s="20"/>
      <c r="QZ133" s="20"/>
      <c r="RA133" s="20"/>
      <c r="RB133" s="20"/>
      <c r="RC133" s="20"/>
      <c r="RD133" s="20"/>
      <c r="RE133" s="20"/>
      <c r="RF133" s="20"/>
      <c r="RG133" s="20"/>
      <c r="RH133" s="20"/>
      <c r="RI133" s="20"/>
      <c r="RJ133" s="20"/>
      <c r="RK133" s="20"/>
      <c r="RL133" s="20"/>
      <c r="RM133" s="20"/>
      <c r="RN133" s="20"/>
      <c r="RO133" s="20"/>
      <c r="RP133" s="20"/>
      <c r="RQ133" s="20"/>
      <c r="RR133" s="20"/>
      <c r="RS133" s="20"/>
      <c r="RT133" s="20"/>
      <c r="RU133" s="20"/>
      <c r="RV133" s="20"/>
      <c r="RW133" s="20"/>
      <c r="RX133" s="20"/>
      <c r="RY133" s="20"/>
      <c r="RZ133" s="20"/>
      <c r="SA133" s="20"/>
      <c r="SB133" s="20"/>
      <c r="SC133" s="20"/>
      <c r="SD133" s="20"/>
      <c r="SE133" s="20"/>
      <c r="SF133" s="20"/>
      <c r="SG133" s="20"/>
      <c r="SH133" s="20"/>
      <c r="SI133" s="20"/>
      <c r="SJ133" s="20"/>
      <c r="SK133" s="20"/>
      <c r="SL133" s="20"/>
      <c r="SM133" s="20"/>
      <c r="SN133" s="20"/>
      <c r="SO133" s="20"/>
      <c r="SP133" s="20"/>
      <c r="SQ133" s="20"/>
      <c r="SR133" s="20"/>
      <c r="SS133" s="20"/>
      <c r="ST133" s="20"/>
      <c r="SU133" s="20"/>
      <c r="SV133" s="20"/>
      <c r="SW133" s="20"/>
      <c r="SX133" s="20"/>
      <c r="SY133" s="20"/>
      <c r="SZ133" s="20"/>
      <c r="TA133" s="20"/>
      <c r="TB133" s="20"/>
      <c r="TC133" s="20"/>
      <c r="TD133" s="20"/>
      <c r="TE133" s="20"/>
      <c r="TF133" s="20"/>
      <c r="TG133" s="20"/>
      <c r="TH133" s="20"/>
      <c r="TI133" s="20"/>
      <c r="TJ133" s="20"/>
      <c r="TK133" s="20"/>
      <c r="TL133" s="20"/>
      <c r="TM133" s="20"/>
      <c r="TN133" s="20"/>
      <c r="TO133" s="20"/>
      <c r="TP133" s="20"/>
      <c r="TQ133" s="20"/>
      <c r="TR133" s="20"/>
      <c r="TS133" s="20"/>
      <c r="TT133" s="20"/>
      <c r="TU133" s="20"/>
      <c r="TV133" s="20"/>
      <c r="TW133" s="20"/>
      <c r="TX133" s="20"/>
      <c r="TY133" s="20"/>
      <c r="TZ133" s="20"/>
      <c r="UA133" s="20"/>
      <c r="UB133" s="20"/>
      <c r="UC133" s="20"/>
      <c r="UD133" s="20"/>
      <c r="UE133" s="20"/>
      <c r="UF133" s="20"/>
      <c r="UG133" s="20"/>
      <c r="UH133" s="20"/>
      <c r="UI133" s="20"/>
      <c r="UJ133" s="20"/>
      <c r="UK133" s="20"/>
      <c r="UL133" s="20"/>
      <c r="UM133" s="20"/>
      <c r="UN133" s="20"/>
      <c r="UO133" s="20"/>
      <c r="UP133" s="20"/>
      <c r="UQ133" s="20"/>
      <c r="UR133" s="20"/>
      <c r="US133" s="20"/>
      <c r="UT133" s="20"/>
      <c r="UU133" s="20"/>
      <c r="UV133" s="20"/>
      <c r="UW133" s="20"/>
      <c r="UX133" s="20"/>
      <c r="UY133" s="20"/>
      <c r="UZ133" s="20"/>
      <c r="VA133" s="20"/>
      <c r="VB133" s="20"/>
      <c r="VC133" s="20"/>
      <c r="VD133" s="20"/>
      <c r="VE133" s="20"/>
      <c r="VF133" s="20"/>
      <c r="VG133" s="20"/>
      <c r="VH133" s="20"/>
      <c r="VI133" s="20"/>
      <c r="VJ133" s="20"/>
      <c r="VK133" s="20"/>
      <c r="VL133" s="20"/>
      <c r="VM133" s="20"/>
      <c r="VN133" s="20"/>
      <c r="VO133" s="20"/>
      <c r="VP133" s="20"/>
      <c r="VQ133" s="20"/>
      <c r="VR133" s="20"/>
      <c r="VS133" s="20"/>
      <c r="VT133" s="20"/>
      <c r="VU133" s="20"/>
      <c r="VV133" s="20"/>
      <c r="VW133" s="20"/>
      <c r="VX133" s="20"/>
      <c r="VY133" s="20"/>
      <c r="VZ133" s="20"/>
      <c r="WA133" s="20"/>
      <c r="WB133" s="20"/>
      <c r="WC133" s="20"/>
      <c r="WD133" s="20"/>
      <c r="WE133" s="20"/>
      <c r="WF133" s="20"/>
      <c r="WG133" s="20"/>
      <c r="WH133" s="20"/>
      <c r="WI133" s="20"/>
      <c r="WJ133" s="20"/>
      <c r="WK133" s="20"/>
      <c r="WL133" s="20"/>
      <c r="WM133" s="20"/>
      <c r="WN133" s="20"/>
      <c r="WO133" s="20"/>
      <c r="WP133" s="20"/>
      <c r="WQ133" s="20"/>
      <c r="WR133" s="20"/>
      <c r="WS133" s="20"/>
      <c r="WT133" s="20"/>
      <c r="WU133" s="20"/>
      <c r="WV133" s="20"/>
      <c r="WW133" s="20"/>
      <c r="WX133" s="20"/>
      <c r="WY133" s="20"/>
      <c r="WZ133" s="20"/>
      <c r="XA133" s="20"/>
      <c r="XB133" s="20"/>
      <c r="XC133" s="20"/>
      <c r="XD133" s="20"/>
      <c r="XE133" s="20"/>
      <c r="XF133" s="20"/>
      <c r="XG133" s="20"/>
      <c r="XH133" s="20"/>
      <c r="XI133" s="20"/>
      <c r="XJ133" s="20"/>
      <c r="XK133" s="20"/>
      <c r="XL133" s="20"/>
      <c r="XM133" s="20"/>
      <c r="XN133" s="20"/>
      <c r="XO133" s="20"/>
      <c r="XP133" s="20"/>
      <c r="XQ133" s="20"/>
      <c r="XR133" s="20"/>
      <c r="XS133" s="20"/>
      <c r="XT133" s="20"/>
      <c r="XU133" s="20"/>
      <c r="XV133" s="20"/>
      <c r="XW133" s="20"/>
      <c r="XX133" s="20"/>
      <c r="XY133" s="20"/>
      <c r="XZ133" s="20"/>
      <c r="YA133" s="20"/>
      <c r="YB133" s="20"/>
      <c r="YC133" s="20"/>
      <c r="YD133" s="20"/>
      <c r="YE133" s="20"/>
      <c r="YF133" s="20"/>
      <c r="YG133" s="20"/>
      <c r="YH133" s="20"/>
      <c r="YI133" s="20"/>
      <c r="YJ133" s="20"/>
      <c r="YK133" s="20"/>
      <c r="YL133" s="20"/>
      <c r="YM133" s="20"/>
      <c r="YN133" s="20"/>
      <c r="YO133" s="20"/>
      <c r="YP133" s="20"/>
      <c r="YQ133" s="20"/>
      <c r="YR133" s="20"/>
      <c r="YS133" s="20"/>
      <c r="YT133" s="20"/>
      <c r="YU133" s="20"/>
      <c r="YV133" s="20"/>
      <c r="YW133" s="20"/>
      <c r="YX133" s="20"/>
      <c r="YY133" s="20"/>
      <c r="YZ133" s="20"/>
      <c r="ZA133" s="20"/>
      <c r="ZB133" s="20"/>
      <c r="ZC133" s="20"/>
      <c r="ZD133" s="20"/>
      <c r="ZE133" s="20"/>
      <c r="ZF133" s="20"/>
      <c r="ZG133" s="20"/>
      <c r="ZH133" s="20"/>
      <c r="ZI133" s="20"/>
      <c r="ZJ133" s="20"/>
      <c r="ZK133" s="20"/>
      <c r="ZL133" s="20"/>
      <c r="ZM133" s="20"/>
      <c r="ZN133" s="20"/>
      <c r="ZO133" s="20"/>
      <c r="ZP133" s="20"/>
      <c r="ZQ133" s="20"/>
      <c r="ZR133" s="20"/>
      <c r="ZS133" s="20"/>
      <c r="ZT133" s="20"/>
      <c r="ZU133" s="20"/>
      <c r="ZV133" s="20"/>
      <c r="ZW133" s="20"/>
      <c r="ZX133" s="20"/>
      <c r="ZY133" s="20"/>
      <c r="ZZ133" s="20"/>
      <c r="AAA133" s="20"/>
      <c r="AAB133" s="20"/>
      <c r="AAC133" s="20"/>
      <c r="AAD133" s="20"/>
      <c r="AAE133" s="20"/>
      <c r="AAF133" s="20"/>
      <c r="AAG133" s="20"/>
      <c r="AAH133" s="20"/>
      <c r="AAI133" s="20"/>
      <c r="AAJ133" s="20"/>
      <c r="AAK133" s="20"/>
      <c r="AAL133" s="20"/>
      <c r="AAM133" s="20"/>
      <c r="AAN133" s="20"/>
      <c r="AAO133" s="20"/>
      <c r="AAP133" s="20"/>
      <c r="AAQ133" s="20"/>
      <c r="AAR133" s="20"/>
      <c r="AAS133" s="20"/>
      <c r="AAT133" s="20"/>
      <c r="AAU133" s="20"/>
      <c r="AAV133" s="20"/>
      <c r="AAW133" s="20"/>
      <c r="AAX133" s="20"/>
      <c r="AAY133" s="20"/>
      <c r="AAZ133" s="20"/>
      <c r="ABA133" s="20"/>
      <c r="ABB133" s="20"/>
      <c r="ABC133" s="20"/>
      <c r="ABD133" s="20"/>
      <c r="ABE133" s="20"/>
      <c r="ABF133" s="20"/>
      <c r="ABG133" s="20"/>
      <c r="ABH133" s="20"/>
      <c r="ABI133" s="20"/>
      <c r="ABJ133" s="20"/>
      <c r="ABK133" s="20"/>
      <c r="ABL133" s="20"/>
      <c r="ABM133" s="20"/>
      <c r="ABN133" s="20"/>
      <c r="ABO133" s="20"/>
      <c r="ABP133" s="20"/>
      <c r="ABQ133" s="20"/>
      <c r="ABR133" s="20"/>
      <c r="ABS133" s="20"/>
      <c r="ABT133" s="20"/>
      <c r="ABU133" s="20"/>
      <c r="ABV133" s="20"/>
      <c r="ABW133" s="20"/>
      <c r="ABX133" s="20"/>
      <c r="ABY133" s="20"/>
      <c r="ABZ133" s="20"/>
      <c r="ACA133" s="20"/>
      <c r="ACB133" s="20"/>
      <c r="ACC133" s="20"/>
      <c r="ACD133" s="20"/>
      <c r="ACE133" s="20"/>
      <c r="ACF133" s="20"/>
      <c r="ACG133" s="20"/>
      <c r="ACH133" s="20"/>
      <c r="ACI133" s="20"/>
      <c r="ACJ133" s="20"/>
      <c r="ACK133" s="20"/>
      <c r="ACL133" s="20"/>
      <c r="ACM133" s="20"/>
      <c r="ACN133" s="20"/>
      <c r="ACO133" s="20"/>
      <c r="ACP133" s="20"/>
      <c r="ACQ133" s="20"/>
    </row>
    <row r="134" spans="1:771" s="62" customFormat="1" ht="186.95">
      <c r="A134" s="21"/>
      <c r="B134" s="63" t="s">
        <v>597</v>
      </c>
      <c r="C134" s="96"/>
      <c r="D134" s="63" t="s">
        <v>592</v>
      </c>
      <c r="E134" s="96"/>
      <c r="F134" s="63" t="s">
        <v>254</v>
      </c>
      <c r="G134" s="96"/>
      <c r="H134" s="63" t="s">
        <v>598</v>
      </c>
      <c r="I134" s="96"/>
      <c r="J134" s="63" t="s">
        <v>587</v>
      </c>
      <c r="K134" s="96"/>
      <c r="L134" s="61" t="s">
        <v>74</v>
      </c>
      <c r="M134" s="96"/>
      <c r="N134" s="63" t="s">
        <v>103</v>
      </c>
      <c r="O134" s="96"/>
      <c r="P134" s="63" t="s">
        <v>599</v>
      </c>
      <c r="Q134" s="69"/>
      <c r="R134" s="61" t="s">
        <v>77</v>
      </c>
      <c r="S134" s="69"/>
      <c r="T134" s="65" t="s">
        <v>600</v>
      </c>
      <c r="U134" s="66"/>
      <c r="V134" s="67" t="s">
        <v>80</v>
      </c>
      <c r="W134" s="68"/>
      <c r="X134" s="67" t="s">
        <v>80</v>
      </c>
      <c r="Y134" s="68"/>
      <c r="Z134" s="67" t="s">
        <v>80</v>
      </c>
      <c r="AA134" s="68"/>
      <c r="AB134" s="63" t="s">
        <v>601</v>
      </c>
      <c r="AD134" s="63" t="s">
        <v>602</v>
      </c>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0"/>
      <c r="IO134" s="20"/>
      <c r="IP134" s="20"/>
      <c r="IQ134" s="20"/>
      <c r="IR134" s="20"/>
      <c r="IS134" s="20"/>
      <c r="IT134" s="20"/>
      <c r="IU134" s="20"/>
      <c r="IV134" s="20"/>
      <c r="IW134" s="20"/>
      <c r="IX134" s="20"/>
      <c r="IY134" s="20"/>
      <c r="IZ134" s="20"/>
      <c r="JA134" s="20"/>
      <c r="JB134" s="20"/>
      <c r="JC134" s="20"/>
      <c r="JD134" s="20"/>
      <c r="JE134" s="20"/>
      <c r="JF134" s="20"/>
      <c r="JG134" s="20"/>
      <c r="JH134" s="20"/>
      <c r="JI134" s="20"/>
      <c r="JJ134" s="20"/>
      <c r="JK134" s="20"/>
      <c r="JL134" s="20"/>
      <c r="JM134" s="20"/>
      <c r="JN134" s="20"/>
      <c r="JO134" s="20"/>
      <c r="JP134" s="20"/>
      <c r="JQ134" s="20"/>
      <c r="JR134" s="20"/>
      <c r="JS134" s="20"/>
      <c r="JT134" s="20"/>
      <c r="JU134" s="20"/>
      <c r="JV134" s="20"/>
      <c r="JW134" s="20"/>
      <c r="JX134" s="20"/>
      <c r="JY134" s="20"/>
      <c r="JZ134" s="20"/>
      <c r="KA134" s="20"/>
      <c r="KB134" s="20"/>
      <c r="KC134" s="20"/>
      <c r="KD134" s="20"/>
      <c r="KE134" s="20"/>
      <c r="KF134" s="20"/>
      <c r="KG134" s="20"/>
      <c r="KH134" s="20"/>
      <c r="KI134" s="20"/>
      <c r="KJ134" s="20"/>
      <c r="KK134" s="20"/>
      <c r="KL134" s="20"/>
      <c r="KM134" s="20"/>
      <c r="KN134" s="20"/>
      <c r="KO134" s="20"/>
      <c r="KP134" s="20"/>
      <c r="KQ134" s="20"/>
      <c r="KR134" s="20"/>
      <c r="KS134" s="20"/>
      <c r="KT134" s="20"/>
      <c r="KU134" s="20"/>
      <c r="KV134" s="20"/>
      <c r="KW134" s="20"/>
      <c r="KX134" s="20"/>
      <c r="KY134" s="20"/>
      <c r="KZ134" s="20"/>
      <c r="LA134" s="20"/>
      <c r="LB134" s="20"/>
      <c r="LC134" s="20"/>
      <c r="LD134" s="20"/>
      <c r="LE134" s="20"/>
      <c r="LF134" s="20"/>
      <c r="LG134" s="20"/>
      <c r="LH134" s="20"/>
      <c r="LI134" s="20"/>
      <c r="LJ134" s="20"/>
      <c r="LK134" s="20"/>
      <c r="LL134" s="20"/>
      <c r="LM134" s="20"/>
      <c r="LN134" s="20"/>
      <c r="LO134" s="20"/>
      <c r="LP134" s="20"/>
      <c r="LQ134" s="20"/>
      <c r="LR134" s="20"/>
      <c r="LS134" s="20"/>
      <c r="LT134" s="20"/>
      <c r="LU134" s="20"/>
      <c r="LV134" s="20"/>
      <c r="LW134" s="20"/>
      <c r="LX134" s="20"/>
      <c r="LY134" s="20"/>
      <c r="LZ134" s="20"/>
      <c r="MA134" s="20"/>
      <c r="MB134" s="20"/>
      <c r="MC134" s="20"/>
      <c r="MD134" s="20"/>
      <c r="ME134" s="20"/>
      <c r="MF134" s="20"/>
      <c r="MG134" s="20"/>
      <c r="MH134" s="20"/>
      <c r="MI134" s="20"/>
      <c r="MJ134" s="20"/>
      <c r="MK134" s="20"/>
      <c r="ML134" s="20"/>
      <c r="MM134" s="20"/>
      <c r="MN134" s="20"/>
      <c r="MO134" s="20"/>
      <c r="MP134" s="20"/>
      <c r="MQ134" s="20"/>
      <c r="MR134" s="20"/>
      <c r="MS134" s="20"/>
      <c r="MT134" s="20"/>
      <c r="MU134" s="20"/>
      <c r="MV134" s="20"/>
      <c r="MW134" s="20"/>
      <c r="MX134" s="20"/>
      <c r="MY134" s="20"/>
      <c r="MZ134" s="20"/>
      <c r="NA134" s="20"/>
      <c r="NB134" s="20"/>
      <c r="NC134" s="20"/>
      <c r="ND134" s="20"/>
      <c r="NE134" s="20"/>
      <c r="NF134" s="20"/>
      <c r="NG134" s="20"/>
      <c r="NH134" s="20"/>
      <c r="NI134" s="20"/>
      <c r="NJ134" s="20"/>
      <c r="NK134" s="20"/>
      <c r="NL134" s="20"/>
      <c r="NM134" s="20"/>
      <c r="NN134" s="20"/>
      <c r="NO134" s="20"/>
      <c r="NP134" s="20"/>
      <c r="NQ134" s="20"/>
      <c r="NR134" s="20"/>
      <c r="NS134" s="20"/>
      <c r="NT134" s="20"/>
      <c r="NU134" s="20"/>
      <c r="NV134" s="20"/>
      <c r="NW134" s="20"/>
      <c r="NX134" s="20"/>
      <c r="NY134" s="20"/>
      <c r="NZ134" s="20"/>
      <c r="OA134" s="20"/>
      <c r="OB134" s="20"/>
      <c r="OC134" s="20"/>
      <c r="OD134" s="20"/>
      <c r="OE134" s="20"/>
      <c r="OF134" s="20"/>
      <c r="OG134" s="20"/>
      <c r="OH134" s="20"/>
      <c r="OI134" s="20"/>
      <c r="OJ134" s="20"/>
      <c r="OK134" s="20"/>
      <c r="OL134" s="20"/>
      <c r="OM134" s="20"/>
      <c r="ON134" s="20"/>
      <c r="OO134" s="20"/>
      <c r="OP134" s="20"/>
      <c r="OQ134" s="20"/>
      <c r="OR134" s="20"/>
      <c r="OS134" s="20"/>
      <c r="OT134" s="20"/>
      <c r="OU134" s="20"/>
      <c r="OV134" s="20"/>
      <c r="OW134" s="20"/>
      <c r="OX134" s="20"/>
      <c r="OY134" s="20"/>
      <c r="OZ134" s="20"/>
      <c r="PA134" s="20"/>
      <c r="PB134" s="20"/>
      <c r="PC134" s="20"/>
      <c r="PD134" s="20"/>
      <c r="PE134" s="20"/>
      <c r="PF134" s="20"/>
      <c r="PG134" s="20"/>
      <c r="PH134" s="20"/>
      <c r="PI134" s="20"/>
      <c r="PJ134" s="20"/>
      <c r="PK134" s="20"/>
      <c r="PL134" s="20"/>
      <c r="PM134" s="20"/>
      <c r="PN134" s="20"/>
      <c r="PO134" s="20"/>
      <c r="PP134" s="20"/>
      <c r="PQ134" s="20"/>
      <c r="PR134" s="20"/>
      <c r="PS134" s="20"/>
      <c r="PT134" s="20"/>
      <c r="PU134" s="20"/>
      <c r="PV134" s="20"/>
      <c r="PW134" s="20"/>
      <c r="PX134" s="20"/>
      <c r="PY134" s="20"/>
      <c r="PZ134" s="20"/>
      <c r="QA134" s="20"/>
      <c r="QB134" s="20"/>
      <c r="QC134" s="20"/>
      <c r="QD134" s="20"/>
      <c r="QE134" s="20"/>
      <c r="QF134" s="20"/>
      <c r="QG134" s="20"/>
      <c r="QH134" s="20"/>
      <c r="QI134" s="20"/>
      <c r="QJ134" s="20"/>
      <c r="QK134" s="20"/>
      <c r="QL134" s="20"/>
      <c r="QM134" s="20"/>
      <c r="QN134" s="20"/>
      <c r="QO134" s="20"/>
      <c r="QP134" s="20"/>
      <c r="QQ134" s="20"/>
      <c r="QR134" s="20"/>
      <c r="QS134" s="20"/>
      <c r="QT134" s="20"/>
      <c r="QU134" s="20"/>
      <c r="QV134" s="20"/>
      <c r="QW134" s="20"/>
      <c r="QX134" s="20"/>
      <c r="QY134" s="20"/>
      <c r="QZ134" s="20"/>
      <c r="RA134" s="20"/>
      <c r="RB134" s="20"/>
      <c r="RC134" s="20"/>
      <c r="RD134" s="20"/>
      <c r="RE134" s="20"/>
      <c r="RF134" s="20"/>
      <c r="RG134" s="20"/>
      <c r="RH134" s="20"/>
      <c r="RI134" s="20"/>
      <c r="RJ134" s="20"/>
      <c r="RK134" s="20"/>
      <c r="RL134" s="20"/>
      <c r="RM134" s="20"/>
      <c r="RN134" s="20"/>
      <c r="RO134" s="20"/>
      <c r="RP134" s="20"/>
      <c r="RQ134" s="20"/>
      <c r="RR134" s="20"/>
      <c r="RS134" s="20"/>
      <c r="RT134" s="20"/>
      <c r="RU134" s="20"/>
      <c r="RV134" s="20"/>
      <c r="RW134" s="20"/>
      <c r="RX134" s="20"/>
      <c r="RY134" s="20"/>
      <c r="RZ134" s="20"/>
      <c r="SA134" s="20"/>
      <c r="SB134" s="20"/>
      <c r="SC134" s="20"/>
      <c r="SD134" s="20"/>
      <c r="SE134" s="20"/>
      <c r="SF134" s="20"/>
      <c r="SG134" s="20"/>
      <c r="SH134" s="20"/>
      <c r="SI134" s="20"/>
      <c r="SJ134" s="20"/>
      <c r="SK134" s="20"/>
      <c r="SL134" s="20"/>
      <c r="SM134" s="20"/>
      <c r="SN134" s="20"/>
      <c r="SO134" s="20"/>
      <c r="SP134" s="20"/>
      <c r="SQ134" s="20"/>
      <c r="SR134" s="20"/>
      <c r="SS134" s="20"/>
      <c r="ST134" s="20"/>
      <c r="SU134" s="20"/>
      <c r="SV134" s="20"/>
      <c r="SW134" s="20"/>
      <c r="SX134" s="20"/>
      <c r="SY134" s="20"/>
      <c r="SZ134" s="20"/>
      <c r="TA134" s="20"/>
      <c r="TB134" s="20"/>
      <c r="TC134" s="20"/>
      <c r="TD134" s="20"/>
      <c r="TE134" s="20"/>
      <c r="TF134" s="20"/>
      <c r="TG134" s="20"/>
      <c r="TH134" s="20"/>
      <c r="TI134" s="20"/>
      <c r="TJ134" s="20"/>
      <c r="TK134" s="20"/>
      <c r="TL134" s="20"/>
      <c r="TM134" s="20"/>
      <c r="TN134" s="20"/>
      <c r="TO134" s="20"/>
      <c r="TP134" s="20"/>
      <c r="TQ134" s="20"/>
      <c r="TR134" s="20"/>
      <c r="TS134" s="20"/>
      <c r="TT134" s="20"/>
      <c r="TU134" s="20"/>
      <c r="TV134" s="20"/>
      <c r="TW134" s="20"/>
      <c r="TX134" s="20"/>
      <c r="TY134" s="20"/>
      <c r="TZ134" s="20"/>
      <c r="UA134" s="20"/>
      <c r="UB134" s="20"/>
      <c r="UC134" s="20"/>
      <c r="UD134" s="20"/>
      <c r="UE134" s="20"/>
      <c r="UF134" s="20"/>
      <c r="UG134" s="20"/>
      <c r="UH134" s="20"/>
      <c r="UI134" s="20"/>
      <c r="UJ134" s="20"/>
      <c r="UK134" s="20"/>
      <c r="UL134" s="20"/>
      <c r="UM134" s="20"/>
      <c r="UN134" s="20"/>
      <c r="UO134" s="20"/>
      <c r="UP134" s="20"/>
      <c r="UQ134" s="20"/>
      <c r="UR134" s="20"/>
      <c r="US134" s="20"/>
      <c r="UT134" s="20"/>
      <c r="UU134" s="20"/>
      <c r="UV134" s="20"/>
      <c r="UW134" s="20"/>
      <c r="UX134" s="20"/>
      <c r="UY134" s="20"/>
      <c r="UZ134" s="20"/>
      <c r="VA134" s="20"/>
      <c r="VB134" s="20"/>
      <c r="VC134" s="20"/>
      <c r="VD134" s="20"/>
      <c r="VE134" s="20"/>
      <c r="VF134" s="20"/>
      <c r="VG134" s="20"/>
      <c r="VH134" s="20"/>
      <c r="VI134" s="20"/>
      <c r="VJ134" s="20"/>
      <c r="VK134" s="20"/>
      <c r="VL134" s="20"/>
      <c r="VM134" s="20"/>
      <c r="VN134" s="20"/>
      <c r="VO134" s="20"/>
      <c r="VP134" s="20"/>
      <c r="VQ134" s="20"/>
      <c r="VR134" s="20"/>
      <c r="VS134" s="20"/>
      <c r="VT134" s="20"/>
      <c r="VU134" s="20"/>
      <c r="VV134" s="20"/>
      <c r="VW134" s="20"/>
      <c r="VX134" s="20"/>
      <c r="VY134" s="20"/>
      <c r="VZ134" s="20"/>
      <c r="WA134" s="20"/>
      <c r="WB134" s="20"/>
      <c r="WC134" s="20"/>
      <c r="WD134" s="20"/>
      <c r="WE134" s="20"/>
      <c r="WF134" s="20"/>
      <c r="WG134" s="20"/>
      <c r="WH134" s="20"/>
      <c r="WI134" s="20"/>
      <c r="WJ134" s="20"/>
      <c r="WK134" s="20"/>
      <c r="WL134" s="20"/>
      <c r="WM134" s="20"/>
      <c r="WN134" s="20"/>
      <c r="WO134" s="20"/>
      <c r="WP134" s="20"/>
      <c r="WQ134" s="20"/>
      <c r="WR134" s="20"/>
      <c r="WS134" s="20"/>
      <c r="WT134" s="20"/>
      <c r="WU134" s="20"/>
      <c r="WV134" s="20"/>
      <c r="WW134" s="20"/>
      <c r="WX134" s="20"/>
      <c r="WY134" s="20"/>
      <c r="WZ134" s="20"/>
      <c r="XA134" s="20"/>
      <c r="XB134" s="20"/>
      <c r="XC134" s="20"/>
      <c r="XD134" s="20"/>
      <c r="XE134" s="20"/>
      <c r="XF134" s="20"/>
      <c r="XG134" s="20"/>
      <c r="XH134" s="20"/>
      <c r="XI134" s="20"/>
      <c r="XJ134" s="20"/>
      <c r="XK134" s="20"/>
      <c r="XL134" s="20"/>
      <c r="XM134" s="20"/>
      <c r="XN134" s="20"/>
      <c r="XO134" s="20"/>
      <c r="XP134" s="20"/>
      <c r="XQ134" s="20"/>
      <c r="XR134" s="20"/>
      <c r="XS134" s="20"/>
      <c r="XT134" s="20"/>
      <c r="XU134" s="20"/>
      <c r="XV134" s="20"/>
      <c r="XW134" s="20"/>
      <c r="XX134" s="20"/>
      <c r="XY134" s="20"/>
      <c r="XZ134" s="20"/>
      <c r="YA134" s="20"/>
      <c r="YB134" s="20"/>
      <c r="YC134" s="20"/>
      <c r="YD134" s="20"/>
      <c r="YE134" s="20"/>
      <c r="YF134" s="20"/>
      <c r="YG134" s="20"/>
      <c r="YH134" s="20"/>
      <c r="YI134" s="20"/>
      <c r="YJ134" s="20"/>
      <c r="YK134" s="20"/>
      <c r="YL134" s="20"/>
      <c r="YM134" s="20"/>
      <c r="YN134" s="20"/>
      <c r="YO134" s="20"/>
      <c r="YP134" s="20"/>
      <c r="YQ134" s="20"/>
      <c r="YR134" s="20"/>
      <c r="YS134" s="20"/>
      <c r="YT134" s="20"/>
      <c r="YU134" s="20"/>
      <c r="YV134" s="20"/>
      <c r="YW134" s="20"/>
      <c r="YX134" s="20"/>
      <c r="YY134" s="20"/>
      <c r="YZ134" s="20"/>
      <c r="ZA134" s="20"/>
      <c r="ZB134" s="20"/>
      <c r="ZC134" s="20"/>
      <c r="ZD134" s="20"/>
      <c r="ZE134" s="20"/>
      <c r="ZF134" s="20"/>
      <c r="ZG134" s="20"/>
      <c r="ZH134" s="20"/>
      <c r="ZI134" s="20"/>
      <c r="ZJ134" s="20"/>
      <c r="ZK134" s="20"/>
      <c r="ZL134" s="20"/>
      <c r="ZM134" s="20"/>
      <c r="ZN134" s="20"/>
      <c r="ZO134" s="20"/>
      <c r="ZP134" s="20"/>
      <c r="ZQ134" s="20"/>
      <c r="ZR134" s="20"/>
      <c r="ZS134" s="20"/>
      <c r="ZT134" s="20"/>
      <c r="ZU134" s="20"/>
      <c r="ZV134" s="20"/>
      <c r="ZW134" s="20"/>
      <c r="ZX134" s="20"/>
      <c r="ZY134" s="20"/>
      <c r="ZZ134" s="20"/>
      <c r="AAA134" s="20"/>
      <c r="AAB134" s="20"/>
      <c r="AAC134" s="20"/>
      <c r="AAD134" s="20"/>
      <c r="AAE134" s="20"/>
      <c r="AAF134" s="20"/>
      <c r="AAG134" s="20"/>
      <c r="AAH134" s="20"/>
      <c r="AAI134" s="20"/>
      <c r="AAJ134" s="20"/>
      <c r="AAK134" s="20"/>
      <c r="AAL134" s="20"/>
      <c r="AAM134" s="20"/>
      <c r="AAN134" s="20"/>
      <c r="AAO134" s="20"/>
      <c r="AAP134" s="20"/>
      <c r="AAQ134" s="20"/>
      <c r="AAR134" s="20"/>
      <c r="AAS134" s="20"/>
      <c r="AAT134" s="20"/>
      <c r="AAU134" s="20"/>
      <c r="AAV134" s="20"/>
      <c r="AAW134" s="20"/>
      <c r="AAX134" s="20"/>
      <c r="AAY134" s="20"/>
      <c r="AAZ134" s="20"/>
      <c r="ABA134" s="20"/>
      <c r="ABB134" s="20"/>
      <c r="ABC134" s="20"/>
      <c r="ABD134" s="20"/>
      <c r="ABE134" s="20"/>
      <c r="ABF134" s="20"/>
      <c r="ABG134" s="20"/>
      <c r="ABH134" s="20"/>
      <c r="ABI134" s="20"/>
      <c r="ABJ134" s="20"/>
      <c r="ABK134" s="20"/>
      <c r="ABL134" s="20"/>
      <c r="ABM134" s="20"/>
      <c r="ABN134" s="20"/>
      <c r="ABO134" s="20"/>
      <c r="ABP134" s="20"/>
      <c r="ABQ134" s="20"/>
      <c r="ABR134" s="20"/>
      <c r="ABS134" s="20"/>
      <c r="ABT134" s="20"/>
      <c r="ABU134" s="20"/>
      <c r="ABV134" s="20"/>
      <c r="ABW134" s="20"/>
      <c r="ABX134" s="20"/>
      <c r="ABY134" s="20"/>
      <c r="ABZ134" s="20"/>
      <c r="ACA134" s="20"/>
      <c r="ACB134" s="20"/>
      <c r="ACC134" s="20"/>
      <c r="ACD134" s="20"/>
      <c r="ACE134" s="20"/>
      <c r="ACF134" s="20"/>
      <c r="ACG134" s="20"/>
      <c r="ACH134" s="20"/>
      <c r="ACI134" s="20"/>
      <c r="ACJ134" s="20"/>
      <c r="ACK134" s="20"/>
      <c r="ACL134" s="20"/>
      <c r="ACM134" s="20"/>
      <c r="ACN134" s="20"/>
      <c r="ACO134" s="20"/>
      <c r="ACP134" s="20"/>
      <c r="ACQ134" s="20"/>
    </row>
    <row r="135" spans="1:771" s="62" customFormat="1" ht="68.099999999999994">
      <c r="A135" s="20"/>
      <c r="B135" s="61" t="s">
        <v>603</v>
      </c>
      <c r="D135" s="61" t="s">
        <v>604</v>
      </c>
      <c r="F135" s="63" t="s">
        <v>254</v>
      </c>
      <c r="H135" s="61" t="s">
        <v>298</v>
      </c>
      <c r="J135" s="61" t="s">
        <v>605</v>
      </c>
      <c r="L135" s="61" t="s">
        <v>74</v>
      </c>
      <c r="N135" s="61" t="s">
        <v>178</v>
      </c>
      <c r="P135" s="61" t="s">
        <v>606</v>
      </c>
      <c r="R135" s="64" t="s">
        <v>607</v>
      </c>
      <c r="T135" s="73" t="s">
        <v>265</v>
      </c>
      <c r="U135" s="66"/>
      <c r="V135" s="67" t="s">
        <v>79</v>
      </c>
      <c r="W135" s="68"/>
      <c r="X135" s="67" t="s">
        <v>80</v>
      </c>
      <c r="Y135" s="68"/>
      <c r="Z135" s="67" t="s">
        <v>80</v>
      </c>
      <c r="AA135" s="68"/>
      <c r="AB135" s="67" t="s">
        <v>80</v>
      </c>
      <c r="AD135" s="63" t="s">
        <v>608</v>
      </c>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c r="IV135" s="20"/>
      <c r="IW135" s="20"/>
      <c r="IX135" s="20"/>
      <c r="IY135" s="20"/>
      <c r="IZ135" s="20"/>
      <c r="JA135" s="20"/>
      <c r="JB135" s="20"/>
      <c r="JC135" s="20"/>
      <c r="JD135" s="20"/>
      <c r="JE135" s="20"/>
      <c r="JF135" s="20"/>
      <c r="JG135" s="20"/>
      <c r="JH135" s="20"/>
      <c r="JI135" s="20"/>
      <c r="JJ135" s="20"/>
      <c r="JK135" s="20"/>
      <c r="JL135" s="20"/>
      <c r="JM135" s="20"/>
      <c r="JN135" s="20"/>
      <c r="JO135" s="20"/>
      <c r="JP135" s="20"/>
      <c r="JQ135" s="20"/>
      <c r="JR135" s="20"/>
      <c r="JS135" s="20"/>
      <c r="JT135" s="20"/>
      <c r="JU135" s="20"/>
      <c r="JV135" s="20"/>
      <c r="JW135" s="20"/>
      <c r="JX135" s="20"/>
      <c r="JY135" s="20"/>
      <c r="JZ135" s="20"/>
      <c r="KA135" s="20"/>
      <c r="KB135" s="20"/>
      <c r="KC135" s="20"/>
      <c r="KD135" s="20"/>
      <c r="KE135" s="20"/>
      <c r="KF135" s="20"/>
      <c r="KG135" s="20"/>
      <c r="KH135" s="20"/>
      <c r="KI135" s="20"/>
      <c r="KJ135" s="20"/>
      <c r="KK135" s="20"/>
      <c r="KL135" s="20"/>
      <c r="KM135" s="20"/>
      <c r="KN135" s="20"/>
      <c r="KO135" s="20"/>
      <c r="KP135" s="20"/>
      <c r="KQ135" s="20"/>
      <c r="KR135" s="20"/>
      <c r="KS135" s="20"/>
      <c r="KT135" s="20"/>
      <c r="KU135" s="20"/>
      <c r="KV135" s="20"/>
      <c r="KW135" s="20"/>
      <c r="KX135" s="20"/>
      <c r="KY135" s="20"/>
      <c r="KZ135" s="20"/>
      <c r="LA135" s="20"/>
      <c r="LB135" s="20"/>
      <c r="LC135" s="20"/>
      <c r="LD135" s="20"/>
      <c r="LE135" s="20"/>
      <c r="LF135" s="20"/>
      <c r="LG135" s="20"/>
      <c r="LH135" s="20"/>
      <c r="LI135" s="20"/>
      <c r="LJ135" s="20"/>
      <c r="LK135" s="20"/>
      <c r="LL135" s="20"/>
      <c r="LM135" s="20"/>
      <c r="LN135" s="20"/>
      <c r="LO135" s="20"/>
      <c r="LP135" s="20"/>
      <c r="LQ135" s="20"/>
      <c r="LR135" s="20"/>
      <c r="LS135" s="20"/>
      <c r="LT135" s="20"/>
      <c r="LU135" s="20"/>
      <c r="LV135" s="20"/>
      <c r="LW135" s="20"/>
      <c r="LX135" s="20"/>
      <c r="LY135" s="20"/>
      <c r="LZ135" s="20"/>
      <c r="MA135" s="20"/>
      <c r="MB135" s="20"/>
      <c r="MC135" s="20"/>
      <c r="MD135" s="20"/>
      <c r="ME135" s="20"/>
      <c r="MF135" s="20"/>
      <c r="MG135" s="20"/>
      <c r="MH135" s="20"/>
      <c r="MI135" s="20"/>
      <c r="MJ135" s="20"/>
      <c r="MK135" s="20"/>
      <c r="ML135" s="20"/>
      <c r="MM135" s="20"/>
      <c r="MN135" s="20"/>
      <c r="MO135" s="20"/>
      <c r="MP135" s="20"/>
      <c r="MQ135" s="20"/>
      <c r="MR135" s="20"/>
      <c r="MS135" s="20"/>
      <c r="MT135" s="20"/>
      <c r="MU135" s="20"/>
      <c r="MV135" s="20"/>
      <c r="MW135" s="20"/>
      <c r="MX135" s="20"/>
      <c r="MY135" s="20"/>
      <c r="MZ135" s="20"/>
      <c r="NA135" s="20"/>
      <c r="NB135" s="20"/>
      <c r="NC135" s="20"/>
      <c r="ND135" s="20"/>
      <c r="NE135" s="20"/>
      <c r="NF135" s="20"/>
      <c r="NG135" s="20"/>
      <c r="NH135" s="20"/>
      <c r="NI135" s="20"/>
      <c r="NJ135" s="20"/>
      <c r="NK135" s="20"/>
      <c r="NL135" s="20"/>
      <c r="NM135" s="20"/>
      <c r="NN135" s="20"/>
      <c r="NO135" s="20"/>
      <c r="NP135" s="20"/>
      <c r="NQ135" s="20"/>
      <c r="NR135" s="20"/>
      <c r="NS135" s="20"/>
      <c r="NT135" s="20"/>
      <c r="NU135" s="20"/>
      <c r="NV135" s="20"/>
      <c r="NW135" s="20"/>
      <c r="NX135" s="20"/>
      <c r="NY135" s="20"/>
      <c r="NZ135" s="20"/>
      <c r="OA135" s="20"/>
      <c r="OB135" s="20"/>
      <c r="OC135" s="20"/>
      <c r="OD135" s="20"/>
      <c r="OE135" s="20"/>
      <c r="OF135" s="20"/>
      <c r="OG135" s="20"/>
      <c r="OH135" s="20"/>
      <c r="OI135" s="20"/>
      <c r="OJ135" s="20"/>
      <c r="OK135" s="20"/>
      <c r="OL135" s="20"/>
      <c r="OM135" s="20"/>
      <c r="ON135" s="20"/>
      <c r="OO135" s="20"/>
      <c r="OP135" s="20"/>
      <c r="OQ135" s="20"/>
      <c r="OR135" s="20"/>
      <c r="OS135" s="20"/>
      <c r="OT135" s="20"/>
      <c r="OU135" s="20"/>
      <c r="OV135" s="20"/>
      <c r="OW135" s="20"/>
      <c r="OX135" s="20"/>
      <c r="OY135" s="20"/>
      <c r="OZ135" s="20"/>
      <c r="PA135" s="20"/>
      <c r="PB135" s="20"/>
      <c r="PC135" s="20"/>
      <c r="PD135" s="20"/>
      <c r="PE135" s="20"/>
      <c r="PF135" s="20"/>
      <c r="PG135" s="20"/>
      <c r="PH135" s="20"/>
      <c r="PI135" s="20"/>
      <c r="PJ135" s="20"/>
      <c r="PK135" s="20"/>
      <c r="PL135" s="20"/>
      <c r="PM135" s="20"/>
      <c r="PN135" s="20"/>
      <c r="PO135" s="20"/>
      <c r="PP135" s="20"/>
      <c r="PQ135" s="20"/>
      <c r="PR135" s="20"/>
      <c r="PS135" s="20"/>
      <c r="PT135" s="20"/>
      <c r="PU135" s="20"/>
      <c r="PV135" s="20"/>
      <c r="PW135" s="20"/>
      <c r="PX135" s="20"/>
      <c r="PY135" s="20"/>
      <c r="PZ135" s="20"/>
      <c r="QA135" s="20"/>
      <c r="QB135" s="20"/>
      <c r="QC135" s="20"/>
      <c r="QD135" s="20"/>
      <c r="QE135" s="20"/>
      <c r="QF135" s="20"/>
      <c r="QG135" s="20"/>
      <c r="QH135" s="20"/>
      <c r="QI135" s="20"/>
      <c r="QJ135" s="20"/>
      <c r="QK135" s="20"/>
      <c r="QL135" s="20"/>
      <c r="QM135" s="20"/>
      <c r="QN135" s="20"/>
      <c r="QO135" s="20"/>
      <c r="QP135" s="20"/>
      <c r="QQ135" s="20"/>
      <c r="QR135" s="20"/>
      <c r="QS135" s="20"/>
      <c r="QT135" s="20"/>
      <c r="QU135" s="20"/>
      <c r="QV135" s="20"/>
      <c r="QW135" s="20"/>
      <c r="QX135" s="20"/>
      <c r="QY135" s="20"/>
      <c r="QZ135" s="20"/>
      <c r="RA135" s="20"/>
      <c r="RB135" s="20"/>
      <c r="RC135" s="20"/>
      <c r="RD135" s="20"/>
      <c r="RE135" s="20"/>
      <c r="RF135" s="20"/>
      <c r="RG135" s="20"/>
      <c r="RH135" s="20"/>
      <c r="RI135" s="20"/>
      <c r="RJ135" s="20"/>
      <c r="RK135" s="20"/>
      <c r="RL135" s="20"/>
      <c r="RM135" s="20"/>
      <c r="RN135" s="20"/>
      <c r="RO135" s="20"/>
      <c r="RP135" s="20"/>
      <c r="RQ135" s="20"/>
      <c r="RR135" s="20"/>
      <c r="RS135" s="20"/>
      <c r="RT135" s="20"/>
      <c r="RU135" s="20"/>
      <c r="RV135" s="20"/>
      <c r="RW135" s="20"/>
      <c r="RX135" s="20"/>
      <c r="RY135" s="20"/>
      <c r="RZ135" s="20"/>
      <c r="SA135" s="20"/>
      <c r="SB135" s="20"/>
      <c r="SC135" s="20"/>
      <c r="SD135" s="20"/>
      <c r="SE135" s="20"/>
      <c r="SF135" s="20"/>
      <c r="SG135" s="20"/>
      <c r="SH135" s="20"/>
      <c r="SI135" s="20"/>
      <c r="SJ135" s="20"/>
      <c r="SK135" s="20"/>
      <c r="SL135" s="20"/>
      <c r="SM135" s="20"/>
      <c r="SN135" s="20"/>
      <c r="SO135" s="20"/>
      <c r="SP135" s="20"/>
      <c r="SQ135" s="20"/>
      <c r="SR135" s="20"/>
      <c r="SS135" s="20"/>
      <c r="ST135" s="20"/>
      <c r="SU135" s="20"/>
      <c r="SV135" s="20"/>
      <c r="SW135" s="20"/>
      <c r="SX135" s="20"/>
      <c r="SY135" s="20"/>
      <c r="SZ135" s="20"/>
      <c r="TA135" s="20"/>
      <c r="TB135" s="20"/>
      <c r="TC135" s="20"/>
      <c r="TD135" s="20"/>
      <c r="TE135" s="20"/>
      <c r="TF135" s="20"/>
      <c r="TG135" s="20"/>
      <c r="TH135" s="20"/>
      <c r="TI135" s="20"/>
      <c r="TJ135" s="20"/>
      <c r="TK135" s="20"/>
      <c r="TL135" s="20"/>
      <c r="TM135" s="20"/>
      <c r="TN135" s="20"/>
      <c r="TO135" s="20"/>
      <c r="TP135" s="20"/>
      <c r="TQ135" s="20"/>
      <c r="TR135" s="20"/>
      <c r="TS135" s="20"/>
      <c r="TT135" s="20"/>
      <c r="TU135" s="20"/>
      <c r="TV135" s="20"/>
      <c r="TW135" s="20"/>
      <c r="TX135" s="20"/>
      <c r="TY135" s="20"/>
      <c r="TZ135" s="20"/>
      <c r="UA135" s="20"/>
      <c r="UB135" s="20"/>
      <c r="UC135" s="20"/>
      <c r="UD135" s="20"/>
      <c r="UE135" s="20"/>
      <c r="UF135" s="20"/>
      <c r="UG135" s="20"/>
      <c r="UH135" s="20"/>
      <c r="UI135" s="20"/>
      <c r="UJ135" s="20"/>
      <c r="UK135" s="20"/>
      <c r="UL135" s="20"/>
      <c r="UM135" s="20"/>
      <c r="UN135" s="20"/>
      <c r="UO135" s="20"/>
      <c r="UP135" s="20"/>
      <c r="UQ135" s="20"/>
      <c r="UR135" s="20"/>
      <c r="US135" s="20"/>
      <c r="UT135" s="20"/>
      <c r="UU135" s="20"/>
      <c r="UV135" s="20"/>
      <c r="UW135" s="20"/>
      <c r="UX135" s="20"/>
      <c r="UY135" s="20"/>
      <c r="UZ135" s="20"/>
      <c r="VA135" s="20"/>
      <c r="VB135" s="20"/>
      <c r="VC135" s="20"/>
      <c r="VD135" s="20"/>
      <c r="VE135" s="20"/>
      <c r="VF135" s="20"/>
      <c r="VG135" s="20"/>
      <c r="VH135" s="20"/>
      <c r="VI135" s="20"/>
      <c r="VJ135" s="20"/>
      <c r="VK135" s="20"/>
      <c r="VL135" s="20"/>
      <c r="VM135" s="20"/>
      <c r="VN135" s="20"/>
      <c r="VO135" s="20"/>
      <c r="VP135" s="20"/>
      <c r="VQ135" s="20"/>
      <c r="VR135" s="20"/>
      <c r="VS135" s="20"/>
      <c r="VT135" s="20"/>
      <c r="VU135" s="20"/>
      <c r="VV135" s="20"/>
      <c r="VW135" s="20"/>
      <c r="VX135" s="20"/>
      <c r="VY135" s="20"/>
      <c r="VZ135" s="20"/>
      <c r="WA135" s="20"/>
      <c r="WB135" s="20"/>
      <c r="WC135" s="20"/>
      <c r="WD135" s="20"/>
      <c r="WE135" s="20"/>
      <c r="WF135" s="20"/>
      <c r="WG135" s="20"/>
      <c r="WH135" s="20"/>
      <c r="WI135" s="20"/>
      <c r="WJ135" s="20"/>
      <c r="WK135" s="20"/>
      <c r="WL135" s="20"/>
      <c r="WM135" s="20"/>
      <c r="WN135" s="20"/>
      <c r="WO135" s="20"/>
      <c r="WP135" s="20"/>
      <c r="WQ135" s="20"/>
      <c r="WR135" s="20"/>
      <c r="WS135" s="20"/>
      <c r="WT135" s="20"/>
      <c r="WU135" s="20"/>
      <c r="WV135" s="20"/>
      <c r="WW135" s="20"/>
      <c r="WX135" s="20"/>
      <c r="WY135" s="20"/>
      <c r="WZ135" s="20"/>
      <c r="XA135" s="20"/>
      <c r="XB135" s="20"/>
      <c r="XC135" s="20"/>
      <c r="XD135" s="20"/>
      <c r="XE135" s="20"/>
      <c r="XF135" s="20"/>
      <c r="XG135" s="20"/>
      <c r="XH135" s="20"/>
      <c r="XI135" s="20"/>
      <c r="XJ135" s="20"/>
      <c r="XK135" s="20"/>
      <c r="XL135" s="20"/>
      <c r="XM135" s="20"/>
      <c r="XN135" s="20"/>
      <c r="XO135" s="20"/>
      <c r="XP135" s="20"/>
      <c r="XQ135" s="20"/>
      <c r="XR135" s="20"/>
      <c r="XS135" s="20"/>
      <c r="XT135" s="20"/>
      <c r="XU135" s="20"/>
      <c r="XV135" s="20"/>
      <c r="XW135" s="20"/>
      <c r="XX135" s="20"/>
      <c r="XY135" s="20"/>
      <c r="XZ135" s="20"/>
      <c r="YA135" s="20"/>
      <c r="YB135" s="20"/>
      <c r="YC135" s="20"/>
      <c r="YD135" s="20"/>
      <c r="YE135" s="20"/>
      <c r="YF135" s="20"/>
      <c r="YG135" s="20"/>
      <c r="YH135" s="20"/>
      <c r="YI135" s="20"/>
      <c r="YJ135" s="20"/>
      <c r="YK135" s="20"/>
      <c r="YL135" s="20"/>
      <c r="YM135" s="20"/>
      <c r="YN135" s="20"/>
      <c r="YO135" s="20"/>
      <c r="YP135" s="20"/>
      <c r="YQ135" s="20"/>
      <c r="YR135" s="20"/>
      <c r="YS135" s="20"/>
      <c r="YT135" s="20"/>
      <c r="YU135" s="20"/>
      <c r="YV135" s="20"/>
      <c r="YW135" s="20"/>
      <c r="YX135" s="20"/>
      <c r="YY135" s="20"/>
      <c r="YZ135" s="20"/>
      <c r="ZA135" s="20"/>
      <c r="ZB135" s="20"/>
      <c r="ZC135" s="20"/>
      <c r="ZD135" s="20"/>
      <c r="ZE135" s="20"/>
      <c r="ZF135" s="20"/>
      <c r="ZG135" s="20"/>
      <c r="ZH135" s="20"/>
      <c r="ZI135" s="20"/>
      <c r="ZJ135" s="20"/>
      <c r="ZK135" s="20"/>
      <c r="ZL135" s="20"/>
      <c r="ZM135" s="20"/>
      <c r="ZN135" s="20"/>
      <c r="ZO135" s="20"/>
      <c r="ZP135" s="20"/>
      <c r="ZQ135" s="20"/>
      <c r="ZR135" s="20"/>
      <c r="ZS135" s="20"/>
      <c r="ZT135" s="20"/>
      <c r="ZU135" s="20"/>
      <c r="ZV135" s="20"/>
      <c r="ZW135" s="20"/>
      <c r="ZX135" s="20"/>
      <c r="ZY135" s="20"/>
      <c r="ZZ135" s="20"/>
      <c r="AAA135" s="20"/>
      <c r="AAB135" s="20"/>
      <c r="AAC135" s="20"/>
      <c r="AAD135" s="20"/>
      <c r="AAE135" s="20"/>
      <c r="AAF135" s="20"/>
      <c r="AAG135" s="20"/>
      <c r="AAH135" s="20"/>
      <c r="AAI135" s="20"/>
      <c r="AAJ135" s="20"/>
      <c r="AAK135" s="20"/>
      <c r="AAL135" s="20"/>
      <c r="AAM135" s="20"/>
      <c r="AAN135" s="20"/>
      <c r="AAO135" s="20"/>
      <c r="AAP135" s="20"/>
      <c r="AAQ135" s="20"/>
      <c r="AAR135" s="20"/>
      <c r="AAS135" s="20"/>
      <c r="AAT135" s="20"/>
      <c r="AAU135" s="20"/>
      <c r="AAV135" s="20"/>
      <c r="AAW135" s="20"/>
      <c r="AAX135" s="20"/>
      <c r="AAY135" s="20"/>
      <c r="AAZ135" s="20"/>
      <c r="ABA135" s="20"/>
      <c r="ABB135" s="20"/>
      <c r="ABC135" s="20"/>
      <c r="ABD135" s="20"/>
      <c r="ABE135" s="20"/>
      <c r="ABF135" s="20"/>
      <c r="ABG135" s="20"/>
      <c r="ABH135" s="20"/>
      <c r="ABI135" s="20"/>
      <c r="ABJ135" s="20"/>
      <c r="ABK135" s="20"/>
      <c r="ABL135" s="20"/>
      <c r="ABM135" s="20"/>
      <c r="ABN135" s="20"/>
      <c r="ABO135" s="20"/>
      <c r="ABP135" s="20"/>
      <c r="ABQ135" s="20"/>
      <c r="ABR135" s="20"/>
      <c r="ABS135" s="20"/>
      <c r="ABT135" s="20"/>
      <c r="ABU135" s="20"/>
      <c r="ABV135" s="20"/>
      <c r="ABW135" s="20"/>
      <c r="ABX135" s="20"/>
      <c r="ABY135" s="20"/>
      <c r="ABZ135" s="20"/>
      <c r="ACA135" s="20"/>
      <c r="ACB135" s="20"/>
      <c r="ACC135" s="20"/>
      <c r="ACD135" s="20"/>
      <c r="ACE135" s="20"/>
      <c r="ACF135" s="20"/>
      <c r="ACG135" s="20"/>
      <c r="ACH135" s="20"/>
      <c r="ACI135" s="20"/>
      <c r="ACJ135" s="20"/>
      <c r="ACK135" s="20"/>
      <c r="ACL135" s="20"/>
      <c r="ACM135" s="20"/>
      <c r="ACN135" s="20"/>
      <c r="ACO135" s="20"/>
      <c r="ACP135" s="20"/>
      <c r="ACQ135" s="20"/>
    </row>
    <row r="136" spans="1:771" s="62" customFormat="1" ht="68.099999999999994">
      <c r="A136" s="20"/>
      <c r="B136" s="61" t="s">
        <v>609</v>
      </c>
      <c r="D136" s="61" t="s">
        <v>610</v>
      </c>
      <c r="F136" s="63" t="s">
        <v>254</v>
      </c>
      <c r="H136" s="61" t="s">
        <v>298</v>
      </c>
      <c r="J136" s="61" t="s">
        <v>605</v>
      </c>
      <c r="L136" s="61" t="s">
        <v>74</v>
      </c>
      <c r="N136" s="61" t="s">
        <v>178</v>
      </c>
      <c r="P136" s="61" t="s">
        <v>611</v>
      </c>
      <c r="R136" s="64" t="s">
        <v>607</v>
      </c>
      <c r="T136" s="73" t="s">
        <v>265</v>
      </c>
      <c r="U136" s="66"/>
      <c r="V136" s="67" t="s">
        <v>79</v>
      </c>
      <c r="W136" s="68"/>
      <c r="X136" s="67" t="s">
        <v>80</v>
      </c>
      <c r="Y136" s="68"/>
      <c r="Z136" s="67" t="s">
        <v>80</v>
      </c>
      <c r="AA136" s="68"/>
      <c r="AB136" s="67" t="s">
        <v>80</v>
      </c>
      <c r="AD136" s="63" t="s">
        <v>608</v>
      </c>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c r="IV136" s="20"/>
      <c r="IW136" s="20"/>
      <c r="IX136" s="20"/>
      <c r="IY136" s="20"/>
      <c r="IZ136" s="20"/>
      <c r="JA136" s="20"/>
      <c r="JB136" s="20"/>
      <c r="JC136" s="20"/>
      <c r="JD136" s="20"/>
      <c r="JE136" s="20"/>
      <c r="JF136" s="20"/>
      <c r="JG136" s="20"/>
      <c r="JH136" s="20"/>
      <c r="JI136" s="20"/>
      <c r="JJ136" s="20"/>
      <c r="JK136" s="20"/>
      <c r="JL136" s="20"/>
      <c r="JM136" s="20"/>
      <c r="JN136" s="20"/>
      <c r="JO136" s="20"/>
      <c r="JP136" s="20"/>
      <c r="JQ136" s="20"/>
      <c r="JR136" s="20"/>
      <c r="JS136" s="20"/>
      <c r="JT136" s="20"/>
      <c r="JU136" s="20"/>
      <c r="JV136" s="20"/>
      <c r="JW136" s="20"/>
      <c r="JX136" s="20"/>
      <c r="JY136" s="20"/>
      <c r="JZ136" s="20"/>
      <c r="KA136" s="20"/>
      <c r="KB136" s="20"/>
      <c r="KC136" s="20"/>
      <c r="KD136" s="20"/>
      <c r="KE136" s="20"/>
      <c r="KF136" s="20"/>
      <c r="KG136" s="20"/>
      <c r="KH136" s="20"/>
      <c r="KI136" s="20"/>
      <c r="KJ136" s="20"/>
      <c r="KK136" s="20"/>
      <c r="KL136" s="20"/>
      <c r="KM136" s="20"/>
      <c r="KN136" s="20"/>
      <c r="KO136" s="20"/>
      <c r="KP136" s="20"/>
      <c r="KQ136" s="20"/>
      <c r="KR136" s="20"/>
      <c r="KS136" s="20"/>
      <c r="KT136" s="20"/>
      <c r="KU136" s="20"/>
      <c r="KV136" s="20"/>
      <c r="KW136" s="20"/>
      <c r="KX136" s="20"/>
      <c r="KY136" s="20"/>
      <c r="KZ136" s="20"/>
      <c r="LA136" s="20"/>
      <c r="LB136" s="20"/>
      <c r="LC136" s="20"/>
      <c r="LD136" s="20"/>
      <c r="LE136" s="20"/>
      <c r="LF136" s="20"/>
      <c r="LG136" s="20"/>
      <c r="LH136" s="20"/>
      <c r="LI136" s="20"/>
      <c r="LJ136" s="20"/>
      <c r="LK136" s="20"/>
      <c r="LL136" s="20"/>
      <c r="LM136" s="20"/>
      <c r="LN136" s="20"/>
      <c r="LO136" s="20"/>
      <c r="LP136" s="20"/>
      <c r="LQ136" s="20"/>
      <c r="LR136" s="20"/>
      <c r="LS136" s="20"/>
      <c r="LT136" s="20"/>
      <c r="LU136" s="20"/>
      <c r="LV136" s="20"/>
      <c r="LW136" s="20"/>
      <c r="LX136" s="20"/>
      <c r="LY136" s="20"/>
      <c r="LZ136" s="20"/>
      <c r="MA136" s="20"/>
      <c r="MB136" s="20"/>
      <c r="MC136" s="20"/>
      <c r="MD136" s="20"/>
      <c r="ME136" s="20"/>
      <c r="MF136" s="20"/>
      <c r="MG136" s="20"/>
      <c r="MH136" s="20"/>
      <c r="MI136" s="20"/>
      <c r="MJ136" s="20"/>
      <c r="MK136" s="20"/>
      <c r="ML136" s="20"/>
      <c r="MM136" s="20"/>
      <c r="MN136" s="20"/>
      <c r="MO136" s="20"/>
      <c r="MP136" s="20"/>
      <c r="MQ136" s="20"/>
      <c r="MR136" s="20"/>
      <c r="MS136" s="20"/>
      <c r="MT136" s="20"/>
      <c r="MU136" s="20"/>
      <c r="MV136" s="20"/>
      <c r="MW136" s="20"/>
      <c r="MX136" s="20"/>
      <c r="MY136" s="20"/>
      <c r="MZ136" s="20"/>
      <c r="NA136" s="20"/>
      <c r="NB136" s="20"/>
      <c r="NC136" s="20"/>
      <c r="ND136" s="20"/>
      <c r="NE136" s="20"/>
      <c r="NF136" s="20"/>
      <c r="NG136" s="20"/>
      <c r="NH136" s="20"/>
      <c r="NI136" s="20"/>
      <c r="NJ136" s="20"/>
      <c r="NK136" s="20"/>
      <c r="NL136" s="20"/>
      <c r="NM136" s="20"/>
      <c r="NN136" s="20"/>
      <c r="NO136" s="20"/>
      <c r="NP136" s="20"/>
      <c r="NQ136" s="20"/>
      <c r="NR136" s="20"/>
      <c r="NS136" s="20"/>
      <c r="NT136" s="20"/>
      <c r="NU136" s="20"/>
      <c r="NV136" s="20"/>
      <c r="NW136" s="20"/>
      <c r="NX136" s="20"/>
      <c r="NY136" s="20"/>
      <c r="NZ136" s="20"/>
      <c r="OA136" s="20"/>
      <c r="OB136" s="20"/>
      <c r="OC136" s="20"/>
      <c r="OD136" s="20"/>
      <c r="OE136" s="20"/>
      <c r="OF136" s="20"/>
      <c r="OG136" s="20"/>
      <c r="OH136" s="20"/>
      <c r="OI136" s="20"/>
      <c r="OJ136" s="20"/>
      <c r="OK136" s="20"/>
      <c r="OL136" s="20"/>
      <c r="OM136" s="20"/>
      <c r="ON136" s="20"/>
      <c r="OO136" s="20"/>
      <c r="OP136" s="20"/>
      <c r="OQ136" s="20"/>
      <c r="OR136" s="20"/>
      <c r="OS136" s="20"/>
      <c r="OT136" s="20"/>
      <c r="OU136" s="20"/>
      <c r="OV136" s="20"/>
      <c r="OW136" s="20"/>
      <c r="OX136" s="20"/>
      <c r="OY136" s="20"/>
      <c r="OZ136" s="20"/>
      <c r="PA136" s="20"/>
      <c r="PB136" s="20"/>
      <c r="PC136" s="20"/>
      <c r="PD136" s="20"/>
      <c r="PE136" s="20"/>
      <c r="PF136" s="20"/>
      <c r="PG136" s="20"/>
      <c r="PH136" s="20"/>
      <c r="PI136" s="20"/>
      <c r="PJ136" s="20"/>
      <c r="PK136" s="20"/>
      <c r="PL136" s="20"/>
      <c r="PM136" s="20"/>
      <c r="PN136" s="20"/>
      <c r="PO136" s="20"/>
      <c r="PP136" s="20"/>
      <c r="PQ136" s="20"/>
      <c r="PR136" s="20"/>
      <c r="PS136" s="20"/>
      <c r="PT136" s="20"/>
      <c r="PU136" s="20"/>
      <c r="PV136" s="20"/>
      <c r="PW136" s="20"/>
      <c r="PX136" s="20"/>
      <c r="PY136" s="20"/>
      <c r="PZ136" s="20"/>
      <c r="QA136" s="20"/>
      <c r="QB136" s="20"/>
      <c r="QC136" s="20"/>
      <c r="QD136" s="20"/>
      <c r="QE136" s="20"/>
      <c r="QF136" s="20"/>
      <c r="QG136" s="20"/>
      <c r="QH136" s="20"/>
      <c r="QI136" s="20"/>
      <c r="QJ136" s="20"/>
      <c r="QK136" s="20"/>
      <c r="QL136" s="20"/>
      <c r="QM136" s="20"/>
      <c r="QN136" s="20"/>
      <c r="QO136" s="20"/>
      <c r="QP136" s="20"/>
      <c r="QQ136" s="20"/>
      <c r="QR136" s="20"/>
      <c r="QS136" s="20"/>
      <c r="QT136" s="20"/>
      <c r="QU136" s="20"/>
      <c r="QV136" s="20"/>
      <c r="QW136" s="20"/>
      <c r="QX136" s="20"/>
      <c r="QY136" s="20"/>
      <c r="QZ136" s="20"/>
      <c r="RA136" s="20"/>
      <c r="RB136" s="20"/>
      <c r="RC136" s="20"/>
      <c r="RD136" s="20"/>
      <c r="RE136" s="20"/>
      <c r="RF136" s="20"/>
      <c r="RG136" s="20"/>
      <c r="RH136" s="20"/>
      <c r="RI136" s="20"/>
      <c r="RJ136" s="20"/>
      <c r="RK136" s="20"/>
      <c r="RL136" s="20"/>
      <c r="RM136" s="20"/>
      <c r="RN136" s="20"/>
      <c r="RO136" s="20"/>
      <c r="RP136" s="20"/>
      <c r="RQ136" s="20"/>
      <c r="RR136" s="20"/>
      <c r="RS136" s="20"/>
      <c r="RT136" s="20"/>
      <c r="RU136" s="20"/>
      <c r="RV136" s="20"/>
      <c r="RW136" s="20"/>
      <c r="RX136" s="20"/>
      <c r="RY136" s="20"/>
      <c r="RZ136" s="20"/>
      <c r="SA136" s="20"/>
      <c r="SB136" s="20"/>
      <c r="SC136" s="20"/>
      <c r="SD136" s="20"/>
      <c r="SE136" s="20"/>
      <c r="SF136" s="20"/>
      <c r="SG136" s="20"/>
      <c r="SH136" s="20"/>
      <c r="SI136" s="20"/>
      <c r="SJ136" s="20"/>
      <c r="SK136" s="20"/>
      <c r="SL136" s="20"/>
      <c r="SM136" s="20"/>
      <c r="SN136" s="20"/>
      <c r="SO136" s="20"/>
      <c r="SP136" s="20"/>
      <c r="SQ136" s="20"/>
      <c r="SR136" s="20"/>
      <c r="SS136" s="20"/>
      <c r="ST136" s="20"/>
      <c r="SU136" s="20"/>
      <c r="SV136" s="20"/>
      <c r="SW136" s="20"/>
      <c r="SX136" s="20"/>
      <c r="SY136" s="20"/>
      <c r="SZ136" s="20"/>
      <c r="TA136" s="20"/>
      <c r="TB136" s="20"/>
      <c r="TC136" s="20"/>
      <c r="TD136" s="20"/>
      <c r="TE136" s="20"/>
      <c r="TF136" s="20"/>
      <c r="TG136" s="20"/>
      <c r="TH136" s="20"/>
      <c r="TI136" s="20"/>
      <c r="TJ136" s="20"/>
      <c r="TK136" s="20"/>
      <c r="TL136" s="20"/>
      <c r="TM136" s="20"/>
      <c r="TN136" s="20"/>
      <c r="TO136" s="20"/>
      <c r="TP136" s="20"/>
      <c r="TQ136" s="20"/>
      <c r="TR136" s="20"/>
      <c r="TS136" s="20"/>
      <c r="TT136" s="20"/>
      <c r="TU136" s="20"/>
      <c r="TV136" s="20"/>
      <c r="TW136" s="20"/>
      <c r="TX136" s="20"/>
      <c r="TY136" s="20"/>
      <c r="TZ136" s="20"/>
      <c r="UA136" s="20"/>
      <c r="UB136" s="20"/>
      <c r="UC136" s="20"/>
      <c r="UD136" s="20"/>
      <c r="UE136" s="20"/>
      <c r="UF136" s="20"/>
      <c r="UG136" s="20"/>
      <c r="UH136" s="20"/>
      <c r="UI136" s="20"/>
      <c r="UJ136" s="20"/>
      <c r="UK136" s="20"/>
      <c r="UL136" s="20"/>
      <c r="UM136" s="20"/>
      <c r="UN136" s="20"/>
      <c r="UO136" s="20"/>
      <c r="UP136" s="20"/>
      <c r="UQ136" s="20"/>
      <c r="UR136" s="20"/>
      <c r="US136" s="20"/>
      <c r="UT136" s="20"/>
      <c r="UU136" s="20"/>
      <c r="UV136" s="20"/>
      <c r="UW136" s="20"/>
      <c r="UX136" s="20"/>
      <c r="UY136" s="20"/>
      <c r="UZ136" s="20"/>
      <c r="VA136" s="20"/>
      <c r="VB136" s="20"/>
      <c r="VC136" s="20"/>
      <c r="VD136" s="20"/>
      <c r="VE136" s="20"/>
      <c r="VF136" s="20"/>
      <c r="VG136" s="20"/>
      <c r="VH136" s="20"/>
      <c r="VI136" s="20"/>
      <c r="VJ136" s="20"/>
      <c r="VK136" s="20"/>
      <c r="VL136" s="20"/>
      <c r="VM136" s="20"/>
      <c r="VN136" s="20"/>
      <c r="VO136" s="20"/>
      <c r="VP136" s="20"/>
      <c r="VQ136" s="20"/>
      <c r="VR136" s="20"/>
      <c r="VS136" s="20"/>
      <c r="VT136" s="20"/>
      <c r="VU136" s="20"/>
      <c r="VV136" s="20"/>
      <c r="VW136" s="20"/>
      <c r="VX136" s="20"/>
      <c r="VY136" s="20"/>
      <c r="VZ136" s="20"/>
      <c r="WA136" s="20"/>
      <c r="WB136" s="20"/>
      <c r="WC136" s="20"/>
      <c r="WD136" s="20"/>
      <c r="WE136" s="20"/>
      <c r="WF136" s="20"/>
      <c r="WG136" s="20"/>
      <c r="WH136" s="20"/>
      <c r="WI136" s="20"/>
      <c r="WJ136" s="20"/>
      <c r="WK136" s="20"/>
      <c r="WL136" s="20"/>
      <c r="WM136" s="20"/>
      <c r="WN136" s="20"/>
      <c r="WO136" s="20"/>
      <c r="WP136" s="20"/>
      <c r="WQ136" s="20"/>
      <c r="WR136" s="20"/>
      <c r="WS136" s="20"/>
      <c r="WT136" s="20"/>
      <c r="WU136" s="20"/>
      <c r="WV136" s="20"/>
      <c r="WW136" s="20"/>
      <c r="WX136" s="20"/>
      <c r="WY136" s="20"/>
      <c r="WZ136" s="20"/>
      <c r="XA136" s="20"/>
      <c r="XB136" s="20"/>
      <c r="XC136" s="20"/>
      <c r="XD136" s="20"/>
      <c r="XE136" s="20"/>
      <c r="XF136" s="20"/>
      <c r="XG136" s="20"/>
      <c r="XH136" s="20"/>
      <c r="XI136" s="20"/>
      <c r="XJ136" s="20"/>
      <c r="XK136" s="20"/>
      <c r="XL136" s="20"/>
      <c r="XM136" s="20"/>
      <c r="XN136" s="20"/>
      <c r="XO136" s="20"/>
      <c r="XP136" s="20"/>
      <c r="XQ136" s="20"/>
      <c r="XR136" s="20"/>
      <c r="XS136" s="20"/>
      <c r="XT136" s="20"/>
      <c r="XU136" s="20"/>
      <c r="XV136" s="20"/>
      <c r="XW136" s="20"/>
      <c r="XX136" s="20"/>
      <c r="XY136" s="20"/>
      <c r="XZ136" s="20"/>
      <c r="YA136" s="20"/>
      <c r="YB136" s="20"/>
      <c r="YC136" s="20"/>
      <c r="YD136" s="20"/>
      <c r="YE136" s="20"/>
      <c r="YF136" s="20"/>
      <c r="YG136" s="20"/>
      <c r="YH136" s="20"/>
      <c r="YI136" s="20"/>
      <c r="YJ136" s="20"/>
      <c r="YK136" s="20"/>
      <c r="YL136" s="20"/>
      <c r="YM136" s="20"/>
      <c r="YN136" s="20"/>
      <c r="YO136" s="20"/>
      <c r="YP136" s="20"/>
      <c r="YQ136" s="20"/>
      <c r="YR136" s="20"/>
      <c r="YS136" s="20"/>
      <c r="YT136" s="20"/>
      <c r="YU136" s="20"/>
      <c r="YV136" s="20"/>
      <c r="YW136" s="20"/>
      <c r="YX136" s="20"/>
      <c r="YY136" s="20"/>
      <c r="YZ136" s="20"/>
      <c r="ZA136" s="20"/>
      <c r="ZB136" s="20"/>
      <c r="ZC136" s="20"/>
      <c r="ZD136" s="20"/>
      <c r="ZE136" s="20"/>
      <c r="ZF136" s="20"/>
      <c r="ZG136" s="20"/>
      <c r="ZH136" s="20"/>
      <c r="ZI136" s="20"/>
      <c r="ZJ136" s="20"/>
      <c r="ZK136" s="20"/>
      <c r="ZL136" s="20"/>
      <c r="ZM136" s="20"/>
      <c r="ZN136" s="20"/>
      <c r="ZO136" s="20"/>
      <c r="ZP136" s="20"/>
      <c r="ZQ136" s="20"/>
      <c r="ZR136" s="20"/>
      <c r="ZS136" s="20"/>
      <c r="ZT136" s="20"/>
      <c r="ZU136" s="20"/>
      <c r="ZV136" s="20"/>
      <c r="ZW136" s="20"/>
      <c r="ZX136" s="20"/>
      <c r="ZY136" s="20"/>
      <c r="ZZ136" s="20"/>
      <c r="AAA136" s="20"/>
      <c r="AAB136" s="20"/>
      <c r="AAC136" s="20"/>
      <c r="AAD136" s="20"/>
      <c r="AAE136" s="20"/>
      <c r="AAF136" s="20"/>
      <c r="AAG136" s="20"/>
      <c r="AAH136" s="20"/>
      <c r="AAI136" s="20"/>
      <c r="AAJ136" s="20"/>
      <c r="AAK136" s="20"/>
      <c r="AAL136" s="20"/>
      <c r="AAM136" s="20"/>
      <c r="AAN136" s="20"/>
      <c r="AAO136" s="20"/>
      <c r="AAP136" s="20"/>
      <c r="AAQ136" s="20"/>
      <c r="AAR136" s="20"/>
      <c r="AAS136" s="20"/>
      <c r="AAT136" s="20"/>
      <c r="AAU136" s="20"/>
      <c r="AAV136" s="20"/>
      <c r="AAW136" s="20"/>
      <c r="AAX136" s="20"/>
      <c r="AAY136" s="20"/>
      <c r="AAZ136" s="20"/>
      <c r="ABA136" s="20"/>
      <c r="ABB136" s="20"/>
      <c r="ABC136" s="20"/>
      <c r="ABD136" s="20"/>
      <c r="ABE136" s="20"/>
      <c r="ABF136" s="20"/>
      <c r="ABG136" s="20"/>
      <c r="ABH136" s="20"/>
      <c r="ABI136" s="20"/>
      <c r="ABJ136" s="20"/>
      <c r="ABK136" s="20"/>
      <c r="ABL136" s="20"/>
      <c r="ABM136" s="20"/>
      <c r="ABN136" s="20"/>
      <c r="ABO136" s="20"/>
      <c r="ABP136" s="20"/>
      <c r="ABQ136" s="20"/>
      <c r="ABR136" s="20"/>
      <c r="ABS136" s="20"/>
      <c r="ABT136" s="20"/>
      <c r="ABU136" s="20"/>
      <c r="ABV136" s="20"/>
      <c r="ABW136" s="20"/>
      <c r="ABX136" s="20"/>
      <c r="ABY136" s="20"/>
      <c r="ABZ136" s="20"/>
      <c r="ACA136" s="20"/>
      <c r="ACB136" s="20"/>
      <c r="ACC136" s="20"/>
      <c r="ACD136" s="20"/>
      <c r="ACE136" s="20"/>
      <c r="ACF136" s="20"/>
      <c r="ACG136" s="20"/>
      <c r="ACH136" s="20"/>
      <c r="ACI136" s="20"/>
      <c r="ACJ136" s="20"/>
      <c r="ACK136" s="20"/>
      <c r="ACL136" s="20"/>
      <c r="ACM136" s="20"/>
      <c r="ACN136" s="20"/>
      <c r="ACO136" s="20"/>
      <c r="ACP136" s="20"/>
      <c r="ACQ136" s="20"/>
    </row>
    <row r="137" spans="1:771" s="62" customFormat="1" ht="119.1">
      <c r="A137" s="20"/>
      <c r="B137" s="61" t="s">
        <v>612</v>
      </c>
      <c r="D137" s="61" t="s">
        <v>613</v>
      </c>
      <c r="F137" s="63" t="s">
        <v>254</v>
      </c>
      <c r="H137" s="61" t="s">
        <v>298</v>
      </c>
      <c r="J137" s="61" t="s">
        <v>605</v>
      </c>
      <c r="L137" s="61" t="s">
        <v>74</v>
      </c>
      <c r="N137" s="61" t="s">
        <v>178</v>
      </c>
      <c r="P137" s="61" t="s">
        <v>614</v>
      </c>
      <c r="R137" s="64" t="s">
        <v>607</v>
      </c>
      <c r="T137" s="73" t="s">
        <v>265</v>
      </c>
      <c r="U137" s="66"/>
      <c r="V137" s="67" t="s">
        <v>79</v>
      </c>
      <c r="W137" s="68"/>
      <c r="X137" s="67" t="s">
        <v>80</v>
      </c>
      <c r="Y137" s="68"/>
      <c r="Z137" s="67" t="s">
        <v>80</v>
      </c>
      <c r="AA137" s="68"/>
      <c r="AB137" s="67" t="s">
        <v>80</v>
      </c>
      <c r="AD137" s="63" t="s">
        <v>615</v>
      </c>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c r="IV137" s="20"/>
      <c r="IW137" s="20"/>
      <c r="IX137" s="20"/>
      <c r="IY137" s="20"/>
      <c r="IZ137" s="20"/>
      <c r="JA137" s="20"/>
      <c r="JB137" s="20"/>
      <c r="JC137" s="20"/>
      <c r="JD137" s="20"/>
      <c r="JE137" s="20"/>
      <c r="JF137" s="20"/>
      <c r="JG137" s="20"/>
      <c r="JH137" s="20"/>
      <c r="JI137" s="20"/>
      <c r="JJ137" s="20"/>
      <c r="JK137" s="20"/>
      <c r="JL137" s="20"/>
      <c r="JM137" s="20"/>
      <c r="JN137" s="20"/>
      <c r="JO137" s="20"/>
      <c r="JP137" s="20"/>
      <c r="JQ137" s="20"/>
      <c r="JR137" s="20"/>
      <c r="JS137" s="20"/>
      <c r="JT137" s="20"/>
      <c r="JU137" s="20"/>
      <c r="JV137" s="20"/>
      <c r="JW137" s="20"/>
      <c r="JX137" s="20"/>
      <c r="JY137" s="20"/>
      <c r="JZ137" s="20"/>
      <c r="KA137" s="20"/>
      <c r="KB137" s="20"/>
      <c r="KC137" s="20"/>
      <c r="KD137" s="20"/>
      <c r="KE137" s="20"/>
      <c r="KF137" s="20"/>
      <c r="KG137" s="20"/>
      <c r="KH137" s="20"/>
      <c r="KI137" s="20"/>
      <c r="KJ137" s="20"/>
      <c r="KK137" s="20"/>
      <c r="KL137" s="20"/>
      <c r="KM137" s="20"/>
      <c r="KN137" s="20"/>
      <c r="KO137" s="20"/>
      <c r="KP137" s="20"/>
      <c r="KQ137" s="20"/>
      <c r="KR137" s="20"/>
      <c r="KS137" s="20"/>
      <c r="KT137" s="20"/>
      <c r="KU137" s="20"/>
      <c r="KV137" s="20"/>
      <c r="KW137" s="20"/>
      <c r="KX137" s="20"/>
      <c r="KY137" s="20"/>
      <c r="KZ137" s="20"/>
      <c r="LA137" s="20"/>
      <c r="LB137" s="20"/>
      <c r="LC137" s="20"/>
      <c r="LD137" s="20"/>
      <c r="LE137" s="20"/>
      <c r="LF137" s="20"/>
      <c r="LG137" s="20"/>
      <c r="LH137" s="20"/>
      <c r="LI137" s="20"/>
      <c r="LJ137" s="20"/>
      <c r="LK137" s="20"/>
      <c r="LL137" s="20"/>
      <c r="LM137" s="20"/>
      <c r="LN137" s="20"/>
      <c r="LO137" s="20"/>
      <c r="LP137" s="20"/>
      <c r="LQ137" s="20"/>
      <c r="LR137" s="20"/>
      <c r="LS137" s="20"/>
      <c r="LT137" s="20"/>
      <c r="LU137" s="20"/>
      <c r="LV137" s="20"/>
      <c r="LW137" s="20"/>
      <c r="LX137" s="20"/>
      <c r="LY137" s="20"/>
      <c r="LZ137" s="20"/>
      <c r="MA137" s="20"/>
      <c r="MB137" s="20"/>
      <c r="MC137" s="20"/>
      <c r="MD137" s="20"/>
      <c r="ME137" s="20"/>
      <c r="MF137" s="20"/>
      <c r="MG137" s="20"/>
      <c r="MH137" s="20"/>
      <c r="MI137" s="20"/>
      <c r="MJ137" s="20"/>
      <c r="MK137" s="20"/>
      <c r="ML137" s="20"/>
      <c r="MM137" s="20"/>
      <c r="MN137" s="20"/>
      <c r="MO137" s="20"/>
      <c r="MP137" s="20"/>
      <c r="MQ137" s="20"/>
      <c r="MR137" s="20"/>
      <c r="MS137" s="20"/>
      <c r="MT137" s="20"/>
      <c r="MU137" s="20"/>
      <c r="MV137" s="20"/>
      <c r="MW137" s="20"/>
      <c r="MX137" s="20"/>
      <c r="MY137" s="20"/>
      <c r="MZ137" s="20"/>
      <c r="NA137" s="20"/>
      <c r="NB137" s="20"/>
      <c r="NC137" s="20"/>
      <c r="ND137" s="20"/>
      <c r="NE137" s="20"/>
      <c r="NF137" s="20"/>
      <c r="NG137" s="20"/>
      <c r="NH137" s="20"/>
      <c r="NI137" s="20"/>
      <c r="NJ137" s="20"/>
      <c r="NK137" s="20"/>
      <c r="NL137" s="20"/>
      <c r="NM137" s="20"/>
      <c r="NN137" s="20"/>
      <c r="NO137" s="20"/>
      <c r="NP137" s="20"/>
      <c r="NQ137" s="20"/>
      <c r="NR137" s="20"/>
      <c r="NS137" s="20"/>
      <c r="NT137" s="20"/>
      <c r="NU137" s="20"/>
      <c r="NV137" s="20"/>
      <c r="NW137" s="20"/>
      <c r="NX137" s="20"/>
      <c r="NY137" s="20"/>
      <c r="NZ137" s="20"/>
      <c r="OA137" s="20"/>
      <c r="OB137" s="20"/>
      <c r="OC137" s="20"/>
      <c r="OD137" s="20"/>
      <c r="OE137" s="20"/>
      <c r="OF137" s="20"/>
      <c r="OG137" s="20"/>
      <c r="OH137" s="20"/>
      <c r="OI137" s="20"/>
      <c r="OJ137" s="20"/>
      <c r="OK137" s="20"/>
      <c r="OL137" s="20"/>
      <c r="OM137" s="20"/>
      <c r="ON137" s="20"/>
      <c r="OO137" s="20"/>
      <c r="OP137" s="20"/>
      <c r="OQ137" s="20"/>
      <c r="OR137" s="20"/>
      <c r="OS137" s="20"/>
      <c r="OT137" s="20"/>
      <c r="OU137" s="20"/>
      <c r="OV137" s="20"/>
      <c r="OW137" s="20"/>
      <c r="OX137" s="20"/>
      <c r="OY137" s="20"/>
      <c r="OZ137" s="20"/>
      <c r="PA137" s="20"/>
      <c r="PB137" s="20"/>
      <c r="PC137" s="20"/>
      <c r="PD137" s="20"/>
      <c r="PE137" s="20"/>
      <c r="PF137" s="20"/>
      <c r="PG137" s="20"/>
      <c r="PH137" s="20"/>
      <c r="PI137" s="20"/>
      <c r="PJ137" s="20"/>
      <c r="PK137" s="20"/>
      <c r="PL137" s="20"/>
      <c r="PM137" s="20"/>
      <c r="PN137" s="20"/>
      <c r="PO137" s="20"/>
      <c r="PP137" s="20"/>
      <c r="PQ137" s="20"/>
      <c r="PR137" s="20"/>
      <c r="PS137" s="20"/>
      <c r="PT137" s="20"/>
      <c r="PU137" s="20"/>
      <c r="PV137" s="20"/>
      <c r="PW137" s="20"/>
      <c r="PX137" s="20"/>
      <c r="PY137" s="20"/>
      <c r="PZ137" s="20"/>
      <c r="QA137" s="20"/>
      <c r="QB137" s="20"/>
      <c r="QC137" s="20"/>
      <c r="QD137" s="20"/>
      <c r="QE137" s="20"/>
      <c r="QF137" s="20"/>
      <c r="QG137" s="20"/>
      <c r="QH137" s="20"/>
      <c r="QI137" s="20"/>
      <c r="QJ137" s="20"/>
      <c r="QK137" s="20"/>
      <c r="QL137" s="20"/>
      <c r="QM137" s="20"/>
      <c r="QN137" s="20"/>
      <c r="QO137" s="20"/>
      <c r="QP137" s="20"/>
      <c r="QQ137" s="20"/>
      <c r="QR137" s="20"/>
      <c r="QS137" s="20"/>
      <c r="QT137" s="20"/>
      <c r="QU137" s="20"/>
      <c r="QV137" s="20"/>
      <c r="QW137" s="20"/>
      <c r="QX137" s="20"/>
      <c r="QY137" s="20"/>
      <c r="QZ137" s="20"/>
      <c r="RA137" s="20"/>
      <c r="RB137" s="20"/>
      <c r="RC137" s="20"/>
      <c r="RD137" s="20"/>
      <c r="RE137" s="20"/>
      <c r="RF137" s="20"/>
      <c r="RG137" s="20"/>
      <c r="RH137" s="20"/>
      <c r="RI137" s="20"/>
      <c r="RJ137" s="20"/>
      <c r="RK137" s="20"/>
      <c r="RL137" s="20"/>
      <c r="RM137" s="20"/>
      <c r="RN137" s="20"/>
      <c r="RO137" s="20"/>
      <c r="RP137" s="20"/>
      <c r="RQ137" s="20"/>
      <c r="RR137" s="20"/>
      <c r="RS137" s="20"/>
      <c r="RT137" s="20"/>
      <c r="RU137" s="20"/>
      <c r="RV137" s="20"/>
      <c r="RW137" s="20"/>
      <c r="RX137" s="20"/>
      <c r="RY137" s="20"/>
      <c r="RZ137" s="20"/>
      <c r="SA137" s="20"/>
      <c r="SB137" s="20"/>
      <c r="SC137" s="20"/>
      <c r="SD137" s="20"/>
      <c r="SE137" s="20"/>
      <c r="SF137" s="20"/>
      <c r="SG137" s="20"/>
      <c r="SH137" s="20"/>
      <c r="SI137" s="20"/>
      <c r="SJ137" s="20"/>
      <c r="SK137" s="20"/>
      <c r="SL137" s="20"/>
      <c r="SM137" s="20"/>
      <c r="SN137" s="20"/>
      <c r="SO137" s="20"/>
      <c r="SP137" s="20"/>
      <c r="SQ137" s="20"/>
      <c r="SR137" s="20"/>
      <c r="SS137" s="20"/>
      <c r="ST137" s="20"/>
      <c r="SU137" s="20"/>
      <c r="SV137" s="20"/>
      <c r="SW137" s="20"/>
      <c r="SX137" s="20"/>
      <c r="SY137" s="20"/>
      <c r="SZ137" s="20"/>
      <c r="TA137" s="20"/>
      <c r="TB137" s="20"/>
      <c r="TC137" s="20"/>
      <c r="TD137" s="20"/>
      <c r="TE137" s="20"/>
      <c r="TF137" s="20"/>
      <c r="TG137" s="20"/>
      <c r="TH137" s="20"/>
      <c r="TI137" s="20"/>
      <c r="TJ137" s="20"/>
      <c r="TK137" s="20"/>
      <c r="TL137" s="20"/>
      <c r="TM137" s="20"/>
      <c r="TN137" s="20"/>
      <c r="TO137" s="20"/>
      <c r="TP137" s="20"/>
      <c r="TQ137" s="20"/>
      <c r="TR137" s="20"/>
      <c r="TS137" s="20"/>
      <c r="TT137" s="20"/>
      <c r="TU137" s="20"/>
      <c r="TV137" s="20"/>
      <c r="TW137" s="20"/>
      <c r="TX137" s="20"/>
      <c r="TY137" s="20"/>
      <c r="TZ137" s="20"/>
      <c r="UA137" s="20"/>
      <c r="UB137" s="20"/>
      <c r="UC137" s="20"/>
      <c r="UD137" s="20"/>
      <c r="UE137" s="20"/>
      <c r="UF137" s="20"/>
      <c r="UG137" s="20"/>
      <c r="UH137" s="20"/>
      <c r="UI137" s="20"/>
      <c r="UJ137" s="20"/>
      <c r="UK137" s="20"/>
      <c r="UL137" s="20"/>
      <c r="UM137" s="20"/>
      <c r="UN137" s="20"/>
      <c r="UO137" s="20"/>
      <c r="UP137" s="20"/>
      <c r="UQ137" s="20"/>
      <c r="UR137" s="20"/>
      <c r="US137" s="20"/>
      <c r="UT137" s="20"/>
      <c r="UU137" s="20"/>
      <c r="UV137" s="20"/>
      <c r="UW137" s="20"/>
      <c r="UX137" s="20"/>
      <c r="UY137" s="20"/>
      <c r="UZ137" s="20"/>
      <c r="VA137" s="20"/>
      <c r="VB137" s="20"/>
      <c r="VC137" s="20"/>
      <c r="VD137" s="20"/>
      <c r="VE137" s="20"/>
      <c r="VF137" s="20"/>
      <c r="VG137" s="20"/>
      <c r="VH137" s="20"/>
      <c r="VI137" s="20"/>
      <c r="VJ137" s="20"/>
      <c r="VK137" s="20"/>
      <c r="VL137" s="20"/>
      <c r="VM137" s="20"/>
      <c r="VN137" s="20"/>
      <c r="VO137" s="20"/>
      <c r="VP137" s="20"/>
      <c r="VQ137" s="20"/>
      <c r="VR137" s="20"/>
      <c r="VS137" s="20"/>
      <c r="VT137" s="20"/>
      <c r="VU137" s="20"/>
      <c r="VV137" s="20"/>
      <c r="VW137" s="20"/>
      <c r="VX137" s="20"/>
      <c r="VY137" s="20"/>
      <c r="VZ137" s="20"/>
      <c r="WA137" s="20"/>
      <c r="WB137" s="20"/>
      <c r="WC137" s="20"/>
      <c r="WD137" s="20"/>
      <c r="WE137" s="20"/>
      <c r="WF137" s="20"/>
      <c r="WG137" s="20"/>
      <c r="WH137" s="20"/>
      <c r="WI137" s="20"/>
      <c r="WJ137" s="20"/>
      <c r="WK137" s="20"/>
      <c r="WL137" s="20"/>
      <c r="WM137" s="20"/>
      <c r="WN137" s="20"/>
      <c r="WO137" s="20"/>
      <c r="WP137" s="20"/>
      <c r="WQ137" s="20"/>
      <c r="WR137" s="20"/>
      <c r="WS137" s="20"/>
      <c r="WT137" s="20"/>
      <c r="WU137" s="20"/>
      <c r="WV137" s="20"/>
      <c r="WW137" s="20"/>
      <c r="WX137" s="20"/>
      <c r="WY137" s="20"/>
      <c r="WZ137" s="20"/>
      <c r="XA137" s="20"/>
      <c r="XB137" s="20"/>
      <c r="XC137" s="20"/>
      <c r="XD137" s="20"/>
      <c r="XE137" s="20"/>
      <c r="XF137" s="20"/>
      <c r="XG137" s="20"/>
      <c r="XH137" s="20"/>
      <c r="XI137" s="20"/>
      <c r="XJ137" s="20"/>
      <c r="XK137" s="20"/>
      <c r="XL137" s="20"/>
      <c r="XM137" s="20"/>
      <c r="XN137" s="20"/>
      <c r="XO137" s="20"/>
      <c r="XP137" s="20"/>
      <c r="XQ137" s="20"/>
      <c r="XR137" s="20"/>
      <c r="XS137" s="20"/>
      <c r="XT137" s="20"/>
      <c r="XU137" s="20"/>
      <c r="XV137" s="20"/>
      <c r="XW137" s="20"/>
      <c r="XX137" s="20"/>
      <c r="XY137" s="20"/>
      <c r="XZ137" s="20"/>
      <c r="YA137" s="20"/>
      <c r="YB137" s="20"/>
      <c r="YC137" s="20"/>
      <c r="YD137" s="20"/>
      <c r="YE137" s="20"/>
      <c r="YF137" s="20"/>
      <c r="YG137" s="20"/>
      <c r="YH137" s="20"/>
      <c r="YI137" s="20"/>
      <c r="YJ137" s="20"/>
      <c r="YK137" s="20"/>
      <c r="YL137" s="20"/>
      <c r="YM137" s="20"/>
      <c r="YN137" s="20"/>
      <c r="YO137" s="20"/>
      <c r="YP137" s="20"/>
      <c r="YQ137" s="20"/>
      <c r="YR137" s="20"/>
      <c r="YS137" s="20"/>
      <c r="YT137" s="20"/>
      <c r="YU137" s="20"/>
      <c r="YV137" s="20"/>
      <c r="YW137" s="20"/>
      <c r="YX137" s="20"/>
      <c r="YY137" s="20"/>
      <c r="YZ137" s="20"/>
      <c r="ZA137" s="20"/>
      <c r="ZB137" s="20"/>
      <c r="ZC137" s="20"/>
      <c r="ZD137" s="20"/>
      <c r="ZE137" s="20"/>
      <c r="ZF137" s="20"/>
      <c r="ZG137" s="20"/>
      <c r="ZH137" s="20"/>
      <c r="ZI137" s="20"/>
      <c r="ZJ137" s="20"/>
      <c r="ZK137" s="20"/>
      <c r="ZL137" s="20"/>
      <c r="ZM137" s="20"/>
      <c r="ZN137" s="20"/>
      <c r="ZO137" s="20"/>
      <c r="ZP137" s="20"/>
      <c r="ZQ137" s="20"/>
      <c r="ZR137" s="20"/>
      <c r="ZS137" s="20"/>
      <c r="ZT137" s="20"/>
      <c r="ZU137" s="20"/>
      <c r="ZV137" s="20"/>
      <c r="ZW137" s="20"/>
      <c r="ZX137" s="20"/>
      <c r="ZY137" s="20"/>
      <c r="ZZ137" s="20"/>
      <c r="AAA137" s="20"/>
      <c r="AAB137" s="20"/>
      <c r="AAC137" s="20"/>
      <c r="AAD137" s="20"/>
      <c r="AAE137" s="20"/>
      <c r="AAF137" s="20"/>
      <c r="AAG137" s="20"/>
      <c r="AAH137" s="20"/>
      <c r="AAI137" s="20"/>
      <c r="AAJ137" s="20"/>
      <c r="AAK137" s="20"/>
      <c r="AAL137" s="20"/>
      <c r="AAM137" s="20"/>
      <c r="AAN137" s="20"/>
      <c r="AAO137" s="20"/>
      <c r="AAP137" s="20"/>
      <c r="AAQ137" s="20"/>
      <c r="AAR137" s="20"/>
      <c r="AAS137" s="20"/>
      <c r="AAT137" s="20"/>
      <c r="AAU137" s="20"/>
      <c r="AAV137" s="20"/>
      <c r="AAW137" s="20"/>
      <c r="AAX137" s="20"/>
      <c r="AAY137" s="20"/>
      <c r="AAZ137" s="20"/>
      <c r="ABA137" s="20"/>
      <c r="ABB137" s="20"/>
      <c r="ABC137" s="20"/>
      <c r="ABD137" s="20"/>
      <c r="ABE137" s="20"/>
      <c r="ABF137" s="20"/>
      <c r="ABG137" s="20"/>
      <c r="ABH137" s="20"/>
      <c r="ABI137" s="20"/>
      <c r="ABJ137" s="20"/>
      <c r="ABK137" s="20"/>
      <c r="ABL137" s="20"/>
      <c r="ABM137" s="20"/>
      <c r="ABN137" s="20"/>
      <c r="ABO137" s="20"/>
      <c r="ABP137" s="20"/>
      <c r="ABQ137" s="20"/>
      <c r="ABR137" s="20"/>
      <c r="ABS137" s="20"/>
      <c r="ABT137" s="20"/>
      <c r="ABU137" s="20"/>
      <c r="ABV137" s="20"/>
      <c r="ABW137" s="20"/>
      <c r="ABX137" s="20"/>
      <c r="ABY137" s="20"/>
      <c r="ABZ137" s="20"/>
      <c r="ACA137" s="20"/>
      <c r="ACB137" s="20"/>
      <c r="ACC137" s="20"/>
      <c r="ACD137" s="20"/>
      <c r="ACE137" s="20"/>
      <c r="ACF137" s="20"/>
      <c r="ACG137" s="20"/>
      <c r="ACH137" s="20"/>
      <c r="ACI137" s="20"/>
      <c r="ACJ137" s="20"/>
      <c r="ACK137" s="20"/>
      <c r="ACL137" s="20"/>
      <c r="ACM137" s="20"/>
      <c r="ACN137" s="20"/>
      <c r="ACO137" s="20"/>
      <c r="ACP137" s="20"/>
      <c r="ACQ137" s="20"/>
    </row>
    <row r="138" spans="1:771" s="62" customFormat="1" ht="84.95">
      <c r="A138" s="20"/>
      <c r="B138" s="61" t="s">
        <v>616</v>
      </c>
      <c r="D138" s="61" t="s">
        <v>617</v>
      </c>
      <c r="F138" s="63" t="s">
        <v>254</v>
      </c>
      <c r="H138" s="61" t="s">
        <v>298</v>
      </c>
      <c r="J138" s="61" t="s">
        <v>605</v>
      </c>
      <c r="L138" s="61" t="s">
        <v>74</v>
      </c>
      <c r="N138" s="61" t="s">
        <v>178</v>
      </c>
      <c r="P138" s="61" t="s">
        <v>618</v>
      </c>
      <c r="R138" s="64" t="s">
        <v>607</v>
      </c>
      <c r="T138" s="73" t="s">
        <v>265</v>
      </c>
      <c r="U138" s="66"/>
      <c r="V138" s="67" t="s">
        <v>79</v>
      </c>
      <c r="W138" s="68"/>
      <c r="X138" s="67" t="s">
        <v>80</v>
      </c>
      <c r="Y138" s="68"/>
      <c r="Z138" s="67" t="s">
        <v>80</v>
      </c>
      <c r="AA138" s="68"/>
      <c r="AB138" s="67" t="s">
        <v>80</v>
      </c>
      <c r="AD138" s="63" t="s">
        <v>619</v>
      </c>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c r="IV138" s="20"/>
      <c r="IW138" s="20"/>
      <c r="IX138" s="20"/>
      <c r="IY138" s="20"/>
      <c r="IZ138" s="20"/>
      <c r="JA138" s="20"/>
      <c r="JB138" s="20"/>
      <c r="JC138" s="20"/>
      <c r="JD138" s="20"/>
      <c r="JE138" s="20"/>
      <c r="JF138" s="20"/>
      <c r="JG138" s="20"/>
      <c r="JH138" s="20"/>
      <c r="JI138" s="20"/>
      <c r="JJ138" s="20"/>
      <c r="JK138" s="20"/>
      <c r="JL138" s="20"/>
      <c r="JM138" s="20"/>
      <c r="JN138" s="20"/>
      <c r="JO138" s="20"/>
      <c r="JP138" s="20"/>
      <c r="JQ138" s="20"/>
      <c r="JR138" s="20"/>
      <c r="JS138" s="20"/>
      <c r="JT138" s="20"/>
      <c r="JU138" s="20"/>
      <c r="JV138" s="20"/>
      <c r="JW138" s="20"/>
      <c r="JX138" s="20"/>
      <c r="JY138" s="20"/>
      <c r="JZ138" s="20"/>
      <c r="KA138" s="20"/>
      <c r="KB138" s="20"/>
      <c r="KC138" s="20"/>
      <c r="KD138" s="20"/>
      <c r="KE138" s="20"/>
      <c r="KF138" s="20"/>
      <c r="KG138" s="20"/>
      <c r="KH138" s="20"/>
      <c r="KI138" s="20"/>
      <c r="KJ138" s="20"/>
      <c r="KK138" s="20"/>
      <c r="KL138" s="20"/>
      <c r="KM138" s="20"/>
      <c r="KN138" s="20"/>
      <c r="KO138" s="20"/>
      <c r="KP138" s="20"/>
      <c r="KQ138" s="20"/>
      <c r="KR138" s="20"/>
      <c r="KS138" s="20"/>
      <c r="KT138" s="20"/>
      <c r="KU138" s="20"/>
      <c r="KV138" s="20"/>
      <c r="KW138" s="20"/>
      <c r="KX138" s="20"/>
      <c r="KY138" s="20"/>
      <c r="KZ138" s="20"/>
      <c r="LA138" s="20"/>
      <c r="LB138" s="20"/>
      <c r="LC138" s="20"/>
      <c r="LD138" s="20"/>
      <c r="LE138" s="20"/>
      <c r="LF138" s="20"/>
      <c r="LG138" s="20"/>
      <c r="LH138" s="20"/>
      <c r="LI138" s="20"/>
      <c r="LJ138" s="20"/>
      <c r="LK138" s="20"/>
      <c r="LL138" s="20"/>
      <c r="LM138" s="20"/>
      <c r="LN138" s="20"/>
      <c r="LO138" s="20"/>
      <c r="LP138" s="20"/>
      <c r="LQ138" s="20"/>
      <c r="LR138" s="20"/>
      <c r="LS138" s="20"/>
      <c r="LT138" s="20"/>
      <c r="LU138" s="20"/>
      <c r="LV138" s="20"/>
      <c r="LW138" s="20"/>
      <c r="LX138" s="20"/>
      <c r="LY138" s="20"/>
      <c r="LZ138" s="20"/>
      <c r="MA138" s="20"/>
      <c r="MB138" s="20"/>
      <c r="MC138" s="20"/>
      <c r="MD138" s="20"/>
      <c r="ME138" s="20"/>
      <c r="MF138" s="20"/>
      <c r="MG138" s="20"/>
      <c r="MH138" s="20"/>
      <c r="MI138" s="20"/>
      <c r="MJ138" s="20"/>
      <c r="MK138" s="20"/>
      <c r="ML138" s="20"/>
      <c r="MM138" s="20"/>
      <c r="MN138" s="20"/>
      <c r="MO138" s="20"/>
      <c r="MP138" s="20"/>
      <c r="MQ138" s="20"/>
      <c r="MR138" s="20"/>
      <c r="MS138" s="20"/>
      <c r="MT138" s="20"/>
      <c r="MU138" s="20"/>
      <c r="MV138" s="20"/>
      <c r="MW138" s="20"/>
      <c r="MX138" s="20"/>
      <c r="MY138" s="20"/>
      <c r="MZ138" s="20"/>
      <c r="NA138" s="20"/>
      <c r="NB138" s="20"/>
      <c r="NC138" s="20"/>
      <c r="ND138" s="20"/>
      <c r="NE138" s="20"/>
      <c r="NF138" s="20"/>
      <c r="NG138" s="20"/>
      <c r="NH138" s="20"/>
      <c r="NI138" s="20"/>
      <c r="NJ138" s="20"/>
      <c r="NK138" s="20"/>
      <c r="NL138" s="20"/>
      <c r="NM138" s="20"/>
      <c r="NN138" s="20"/>
      <c r="NO138" s="20"/>
      <c r="NP138" s="20"/>
      <c r="NQ138" s="20"/>
      <c r="NR138" s="20"/>
      <c r="NS138" s="20"/>
      <c r="NT138" s="20"/>
      <c r="NU138" s="20"/>
      <c r="NV138" s="20"/>
      <c r="NW138" s="20"/>
      <c r="NX138" s="20"/>
      <c r="NY138" s="20"/>
      <c r="NZ138" s="20"/>
      <c r="OA138" s="20"/>
      <c r="OB138" s="20"/>
      <c r="OC138" s="20"/>
      <c r="OD138" s="20"/>
      <c r="OE138" s="20"/>
      <c r="OF138" s="20"/>
      <c r="OG138" s="20"/>
      <c r="OH138" s="20"/>
      <c r="OI138" s="20"/>
      <c r="OJ138" s="20"/>
      <c r="OK138" s="20"/>
      <c r="OL138" s="20"/>
      <c r="OM138" s="20"/>
      <c r="ON138" s="20"/>
      <c r="OO138" s="20"/>
      <c r="OP138" s="20"/>
      <c r="OQ138" s="20"/>
      <c r="OR138" s="20"/>
      <c r="OS138" s="20"/>
      <c r="OT138" s="20"/>
      <c r="OU138" s="20"/>
      <c r="OV138" s="20"/>
      <c r="OW138" s="20"/>
      <c r="OX138" s="20"/>
      <c r="OY138" s="20"/>
      <c r="OZ138" s="20"/>
      <c r="PA138" s="20"/>
      <c r="PB138" s="20"/>
      <c r="PC138" s="20"/>
      <c r="PD138" s="20"/>
      <c r="PE138" s="20"/>
      <c r="PF138" s="20"/>
      <c r="PG138" s="20"/>
      <c r="PH138" s="20"/>
      <c r="PI138" s="20"/>
      <c r="PJ138" s="20"/>
      <c r="PK138" s="20"/>
      <c r="PL138" s="20"/>
      <c r="PM138" s="20"/>
      <c r="PN138" s="20"/>
      <c r="PO138" s="20"/>
      <c r="PP138" s="20"/>
      <c r="PQ138" s="20"/>
      <c r="PR138" s="20"/>
      <c r="PS138" s="20"/>
      <c r="PT138" s="20"/>
      <c r="PU138" s="20"/>
      <c r="PV138" s="20"/>
      <c r="PW138" s="20"/>
      <c r="PX138" s="20"/>
      <c r="PY138" s="20"/>
      <c r="PZ138" s="20"/>
      <c r="QA138" s="20"/>
      <c r="QB138" s="20"/>
      <c r="QC138" s="20"/>
      <c r="QD138" s="20"/>
      <c r="QE138" s="20"/>
      <c r="QF138" s="20"/>
      <c r="QG138" s="20"/>
      <c r="QH138" s="20"/>
      <c r="QI138" s="20"/>
      <c r="QJ138" s="20"/>
      <c r="QK138" s="20"/>
      <c r="QL138" s="20"/>
      <c r="QM138" s="20"/>
      <c r="QN138" s="20"/>
      <c r="QO138" s="20"/>
      <c r="QP138" s="20"/>
      <c r="QQ138" s="20"/>
      <c r="QR138" s="20"/>
      <c r="QS138" s="20"/>
      <c r="QT138" s="20"/>
      <c r="QU138" s="20"/>
      <c r="QV138" s="20"/>
      <c r="QW138" s="20"/>
      <c r="QX138" s="20"/>
      <c r="QY138" s="20"/>
      <c r="QZ138" s="20"/>
      <c r="RA138" s="20"/>
      <c r="RB138" s="20"/>
      <c r="RC138" s="20"/>
      <c r="RD138" s="20"/>
      <c r="RE138" s="20"/>
      <c r="RF138" s="20"/>
      <c r="RG138" s="20"/>
      <c r="RH138" s="20"/>
      <c r="RI138" s="20"/>
      <c r="RJ138" s="20"/>
      <c r="RK138" s="20"/>
      <c r="RL138" s="20"/>
      <c r="RM138" s="20"/>
      <c r="RN138" s="20"/>
      <c r="RO138" s="20"/>
      <c r="RP138" s="20"/>
      <c r="RQ138" s="20"/>
      <c r="RR138" s="20"/>
      <c r="RS138" s="20"/>
      <c r="RT138" s="20"/>
      <c r="RU138" s="20"/>
      <c r="RV138" s="20"/>
      <c r="RW138" s="20"/>
      <c r="RX138" s="20"/>
      <c r="RY138" s="20"/>
      <c r="RZ138" s="20"/>
      <c r="SA138" s="20"/>
      <c r="SB138" s="20"/>
      <c r="SC138" s="20"/>
      <c r="SD138" s="20"/>
      <c r="SE138" s="20"/>
      <c r="SF138" s="20"/>
      <c r="SG138" s="20"/>
      <c r="SH138" s="20"/>
      <c r="SI138" s="20"/>
      <c r="SJ138" s="20"/>
      <c r="SK138" s="20"/>
      <c r="SL138" s="20"/>
      <c r="SM138" s="20"/>
      <c r="SN138" s="20"/>
      <c r="SO138" s="20"/>
      <c r="SP138" s="20"/>
      <c r="SQ138" s="20"/>
      <c r="SR138" s="20"/>
      <c r="SS138" s="20"/>
      <c r="ST138" s="20"/>
      <c r="SU138" s="20"/>
      <c r="SV138" s="20"/>
      <c r="SW138" s="20"/>
      <c r="SX138" s="20"/>
      <c r="SY138" s="20"/>
      <c r="SZ138" s="20"/>
      <c r="TA138" s="20"/>
      <c r="TB138" s="20"/>
      <c r="TC138" s="20"/>
      <c r="TD138" s="20"/>
      <c r="TE138" s="20"/>
      <c r="TF138" s="20"/>
      <c r="TG138" s="20"/>
      <c r="TH138" s="20"/>
      <c r="TI138" s="20"/>
      <c r="TJ138" s="20"/>
      <c r="TK138" s="20"/>
      <c r="TL138" s="20"/>
      <c r="TM138" s="20"/>
      <c r="TN138" s="20"/>
      <c r="TO138" s="20"/>
      <c r="TP138" s="20"/>
      <c r="TQ138" s="20"/>
      <c r="TR138" s="20"/>
      <c r="TS138" s="20"/>
      <c r="TT138" s="20"/>
      <c r="TU138" s="20"/>
      <c r="TV138" s="20"/>
      <c r="TW138" s="20"/>
      <c r="TX138" s="20"/>
      <c r="TY138" s="20"/>
      <c r="TZ138" s="20"/>
      <c r="UA138" s="20"/>
      <c r="UB138" s="20"/>
      <c r="UC138" s="20"/>
      <c r="UD138" s="20"/>
      <c r="UE138" s="20"/>
      <c r="UF138" s="20"/>
      <c r="UG138" s="20"/>
      <c r="UH138" s="20"/>
      <c r="UI138" s="20"/>
      <c r="UJ138" s="20"/>
      <c r="UK138" s="20"/>
      <c r="UL138" s="20"/>
      <c r="UM138" s="20"/>
      <c r="UN138" s="20"/>
      <c r="UO138" s="20"/>
      <c r="UP138" s="20"/>
      <c r="UQ138" s="20"/>
      <c r="UR138" s="20"/>
      <c r="US138" s="20"/>
      <c r="UT138" s="20"/>
      <c r="UU138" s="20"/>
      <c r="UV138" s="20"/>
      <c r="UW138" s="20"/>
      <c r="UX138" s="20"/>
      <c r="UY138" s="20"/>
      <c r="UZ138" s="20"/>
      <c r="VA138" s="20"/>
      <c r="VB138" s="20"/>
      <c r="VC138" s="20"/>
      <c r="VD138" s="20"/>
      <c r="VE138" s="20"/>
      <c r="VF138" s="20"/>
      <c r="VG138" s="20"/>
      <c r="VH138" s="20"/>
      <c r="VI138" s="20"/>
      <c r="VJ138" s="20"/>
      <c r="VK138" s="20"/>
      <c r="VL138" s="20"/>
      <c r="VM138" s="20"/>
      <c r="VN138" s="20"/>
      <c r="VO138" s="20"/>
      <c r="VP138" s="20"/>
      <c r="VQ138" s="20"/>
      <c r="VR138" s="20"/>
      <c r="VS138" s="20"/>
      <c r="VT138" s="20"/>
      <c r="VU138" s="20"/>
      <c r="VV138" s="20"/>
      <c r="VW138" s="20"/>
      <c r="VX138" s="20"/>
      <c r="VY138" s="20"/>
      <c r="VZ138" s="20"/>
      <c r="WA138" s="20"/>
      <c r="WB138" s="20"/>
      <c r="WC138" s="20"/>
      <c r="WD138" s="20"/>
      <c r="WE138" s="20"/>
      <c r="WF138" s="20"/>
      <c r="WG138" s="20"/>
      <c r="WH138" s="20"/>
      <c r="WI138" s="20"/>
      <c r="WJ138" s="20"/>
      <c r="WK138" s="20"/>
      <c r="WL138" s="20"/>
      <c r="WM138" s="20"/>
      <c r="WN138" s="20"/>
      <c r="WO138" s="20"/>
      <c r="WP138" s="20"/>
      <c r="WQ138" s="20"/>
      <c r="WR138" s="20"/>
      <c r="WS138" s="20"/>
      <c r="WT138" s="20"/>
      <c r="WU138" s="20"/>
      <c r="WV138" s="20"/>
      <c r="WW138" s="20"/>
      <c r="WX138" s="20"/>
      <c r="WY138" s="20"/>
      <c r="WZ138" s="20"/>
      <c r="XA138" s="20"/>
      <c r="XB138" s="20"/>
      <c r="XC138" s="20"/>
      <c r="XD138" s="20"/>
      <c r="XE138" s="20"/>
      <c r="XF138" s="20"/>
      <c r="XG138" s="20"/>
      <c r="XH138" s="20"/>
      <c r="XI138" s="20"/>
      <c r="XJ138" s="20"/>
      <c r="XK138" s="20"/>
      <c r="XL138" s="20"/>
      <c r="XM138" s="20"/>
      <c r="XN138" s="20"/>
      <c r="XO138" s="20"/>
      <c r="XP138" s="20"/>
      <c r="XQ138" s="20"/>
      <c r="XR138" s="20"/>
      <c r="XS138" s="20"/>
      <c r="XT138" s="20"/>
      <c r="XU138" s="20"/>
      <c r="XV138" s="20"/>
      <c r="XW138" s="20"/>
      <c r="XX138" s="20"/>
      <c r="XY138" s="20"/>
      <c r="XZ138" s="20"/>
      <c r="YA138" s="20"/>
      <c r="YB138" s="20"/>
      <c r="YC138" s="20"/>
      <c r="YD138" s="20"/>
      <c r="YE138" s="20"/>
      <c r="YF138" s="20"/>
      <c r="YG138" s="20"/>
      <c r="YH138" s="20"/>
      <c r="YI138" s="20"/>
      <c r="YJ138" s="20"/>
      <c r="YK138" s="20"/>
      <c r="YL138" s="20"/>
      <c r="YM138" s="20"/>
      <c r="YN138" s="20"/>
      <c r="YO138" s="20"/>
      <c r="YP138" s="20"/>
      <c r="YQ138" s="20"/>
      <c r="YR138" s="20"/>
      <c r="YS138" s="20"/>
      <c r="YT138" s="20"/>
      <c r="YU138" s="20"/>
      <c r="YV138" s="20"/>
      <c r="YW138" s="20"/>
      <c r="YX138" s="20"/>
      <c r="YY138" s="20"/>
      <c r="YZ138" s="20"/>
      <c r="ZA138" s="20"/>
      <c r="ZB138" s="20"/>
      <c r="ZC138" s="20"/>
      <c r="ZD138" s="20"/>
      <c r="ZE138" s="20"/>
      <c r="ZF138" s="20"/>
      <c r="ZG138" s="20"/>
      <c r="ZH138" s="20"/>
      <c r="ZI138" s="20"/>
      <c r="ZJ138" s="20"/>
      <c r="ZK138" s="20"/>
      <c r="ZL138" s="20"/>
      <c r="ZM138" s="20"/>
      <c r="ZN138" s="20"/>
      <c r="ZO138" s="20"/>
      <c r="ZP138" s="20"/>
      <c r="ZQ138" s="20"/>
      <c r="ZR138" s="20"/>
      <c r="ZS138" s="20"/>
      <c r="ZT138" s="20"/>
      <c r="ZU138" s="20"/>
      <c r="ZV138" s="20"/>
      <c r="ZW138" s="20"/>
      <c r="ZX138" s="20"/>
      <c r="ZY138" s="20"/>
      <c r="ZZ138" s="20"/>
      <c r="AAA138" s="20"/>
      <c r="AAB138" s="20"/>
      <c r="AAC138" s="20"/>
      <c r="AAD138" s="20"/>
      <c r="AAE138" s="20"/>
      <c r="AAF138" s="20"/>
      <c r="AAG138" s="20"/>
      <c r="AAH138" s="20"/>
      <c r="AAI138" s="20"/>
      <c r="AAJ138" s="20"/>
      <c r="AAK138" s="20"/>
      <c r="AAL138" s="20"/>
      <c r="AAM138" s="20"/>
      <c r="AAN138" s="20"/>
      <c r="AAO138" s="20"/>
      <c r="AAP138" s="20"/>
      <c r="AAQ138" s="20"/>
      <c r="AAR138" s="20"/>
      <c r="AAS138" s="20"/>
      <c r="AAT138" s="20"/>
      <c r="AAU138" s="20"/>
      <c r="AAV138" s="20"/>
      <c r="AAW138" s="20"/>
      <c r="AAX138" s="20"/>
      <c r="AAY138" s="20"/>
      <c r="AAZ138" s="20"/>
      <c r="ABA138" s="20"/>
      <c r="ABB138" s="20"/>
      <c r="ABC138" s="20"/>
      <c r="ABD138" s="20"/>
      <c r="ABE138" s="20"/>
      <c r="ABF138" s="20"/>
      <c r="ABG138" s="20"/>
      <c r="ABH138" s="20"/>
      <c r="ABI138" s="20"/>
      <c r="ABJ138" s="20"/>
      <c r="ABK138" s="20"/>
      <c r="ABL138" s="20"/>
      <c r="ABM138" s="20"/>
      <c r="ABN138" s="20"/>
      <c r="ABO138" s="20"/>
      <c r="ABP138" s="20"/>
      <c r="ABQ138" s="20"/>
      <c r="ABR138" s="20"/>
      <c r="ABS138" s="20"/>
      <c r="ABT138" s="20"/>
      <c r="ABU138" s="20"/>
      <c r="ABV138" s="20"/>
      <c r="ABW138" s="20"/>
      <c r="ABX138" s="20"/>
      <c r="ABY138" s="20"/>
      <c r="ABZ138" s="20"/>
      <c r="ACA138" s="20"/>
      <c r="ACB138" s="20"/>
      <c r="ACC138" s="20"/>
      <c r="ACD138" s="20"/>
      <c r="ACE138" s="20"/>
      <c r="ACF138" s="20"/>
      <c r="ACG138" s="20"/>
      <c r="ACH138" s="20"/>
      <c r="ACI138" s="20"/>
      <c r="ACJ138" s="20"/>
      <c r="ACK138" s="20"/>
      <c r="ACL138" s="20"/>
      <c r="ACM138" s="20"/>
      <c r="ACN138" s="20"/>
      <c r="ACO138" s="20"/>
      <c r="ACP138" s="20"/>
      <c r="ACQ138" s="20"/>
    </row>
    <row r="139" spans="1:771" s="62" customFormat="1" ht="119.1">
      <c r="A139" s="20"/>
      <c r="B139" s="61" t="s">
        <v>620</v>
      </c>
      <c r="D139" s="61" t="s">
        <v>621</v>
      </c>
      <c r="F139" s="63" t="s">
        <v>254</v>
      </c>
      <c r="H139" s="61" t="s">
        <v>298</v>
      </c>
      <c r="J139" s="61" t="s">
        <v>605</v>
      </c>
      <c r="L139" s="61" t="s">
        <v>74</v>
      </c>
      <c r="N139" s="61" t="s">
        <v>178</v>
      </c>
      <c r="P139" s="61" t="s">
        <v>622</v>
      </c>
      <c r="R139" s="64" t="s">
        <v>607</v>
      </c>
      <c r="T139" s="73" t="s">
        <v>265</v>
      </c>
      <c r="U139" s="66"/>
      <c r="V139" s="67" t="s">
        <v>79</v>
      </c>
      <c r="W139" s="68"/>
      <c r="X139" s="67" t="s">
        <v>80</v>
      </c>
      <c r="Y139" s="68"/>
      <c r="Z139" s="67" t="s">
        <v>80</v>
      </c>
      <c r="AA139" s="68"/>
      <c r="AB139" s="67" t="s">
        <v>80</v>
      </c>
      <c r="AD139" s="63" t="s">
        <v>623</v>
      </c>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c r="IN139" s="20"/>
      <c r="IO139" s="20"/>
      <c r="IP139" s="20"/>
      <c r="IQ139" s="20"/>
      <c r="IR139" s="20"/>
      <c r="IS139" s="20"/>
      <c r="IT139" s="20"/>
      <c r="IU139" s="20"/>
      <c r="IV139" s="20"/>
      <c r="IW139" s="20"/>
      <c r="IX139" s="20"/>
      <c r="IY139" s="20"/>
      <c r="IZ139" s="20"/>
      <c r="JA139" s="20"/>
      <c r="JB139" s="20"/>
      <c r="JC139" s="20"/>
      <c r="JD139" s="20"/>
      <c r="JE139" s="20"/>
      <c r="JF139" s="20"/>
      <c r="JG139" s="20"/>
      <c r="JH139" s="20"/>
      <c r="JI139" s="20"/>
      <c r="JJ139" s="20"/>
      <c r="JK139" s="20"/>
      <c r="JL139" s="20"/>
      <c r="JM139" s="20"/>
      <c r="JN139" s="20"/>
      <c r="JO139" s="20"/>
      <c r="JP139" s="20"/>
      <c r="JQ139" s="20"/>
      <c r="JR139" s="20"/>
      <c r="JS139" s="20"/>
      <c r="JT139" s="20"/>
      <c r="JU139" s="20"/>
      <c r="JV139" s="20"/>
      <c r="JW139" s="20"/>
      <c r="JX139" s="20"/>
      <c r="JY139" s="20"/>
      <c r="JZ139" s="20"/>
      <c r="KA139" s="20"/>
      <c r="KB139" s="20"/>
      <c r="KC139" s="20"/>
      <c r="KD139" s="20"/>
      <c r="KE139" s="20"/>
      <c r="KF139" s="20"/>
      <c r="KG139" s="20"/>
      <c r="KH139" s="20"/>
      <c r="KI139" s="20"/>
      <c r="KJ139" s="20"/>
      <c r="KK139" s="20"/>
      <c r="KL139" s="20"/>
      <c r="KM139" s="20"/>
      <c r="KN139" s="20"/>
      <c r="KO139" s="20"/>
      <c r="KP139" s="20"/>
      <c r="KQ139" s="20"/>
      <c r="KR139" s="20"/>
      <c r="KS139" s="20"/>
      <c r="KT139" s="20"/>
      <c r="KU139" s="20"/>
      <c r="KV139" s="20"/>
      <c r="KW139" s="20"/>
      <c r="KX139" s="20"/>
      <c r="KY139" s="20"/>
      <c r="KZ139" s="20"/>
      <c r="LA139" s="20"/>
      <c r="LB139" s="20"/>
      <c r="LC139" s="20"/>
      <c r="LD139" s="20"/>
      <c r="LE139" s="20"/>
      <c r="LF139" s="20"/>
      <c r="LG139" s="20"/>
      <c r="LH139" s="20"/>
      <c r="LI139" s="20"/>
      <c r="LJ139" s="20"/>
      <c r="LK139" s="20"/>
      <c r="LL139" s="20"/>
      <c r="LM139" s="20"/>
      <c r="LN139" s="20"/>
      <c r="LO139" s="20"/>
      <c r="LP139" s="20"/>
      <c r="LQ139" s="20"/>
      <c r="LR139" s="20"/>
      <c r="LS139" s="20"/>
      <c r="LT139" s="20"/>
      <c r="LU139" s="20"/>
      <c r="LV139" s="20"/>
      <c r="LW139" s="20"/>
      <c r="LX139" s="20"/>
      <c r="LY139" s="20"/>
      <c r="LZ139" s="20"/>
      <c r="MA139" s="20"/>
      <c r="MB139" s="20"/>
      <c r="MC139" s="20"/>
      <c r="MD139" s="20"/>
      <c r="ME139" s="20"/>
      <c r="MF139" s="20"/>
      <c r="MG139" s="20"/>
      <c r="MH139" s="20"/>
      <c r="MI139" s="20"/>
      <c r="MJ139" s="20"/>
      <c r="MK139" s="20"/>
      <c r="ML139" s="20"/>
      <c r="MM139" s="20"/>
      <c r="MN139" s="20"/>
      <c r="MO139" s="20"/>
      <c r="MP139" s="20"/>
      <c r="MQ139" s="20"/>
      <c r="MR139" s="20"/>
      <c r="MS139" s="20"/>
      <c r="MT139" s="20"/>
      <c r="MU139" s="20"/>
      <c r="MV139" s="20"/>
      <c r="MW139" s="20"/>
      <c r="MX139" s="20"/>
      <c r="MY139" s="20"/>
      <c r="MZ139" s="20"/>
      <c r="NA139" s="20"/>
      <c r="NB139" s="20"/>
      <c r="NC139" s="20"/>
      <c r="ND139" s="20"/>
      <c r="NE139" s="20"/>
      <c r="NF139" s="20"/>
      <c r="NG139" s="20"/>
      <c r="NH139" s="20"/>
      <c r="NI139" s="20"/>
      <c r="NJ139" s="20"/>
      <c r="NK139" s="20"/>
      <c r="NL139" s="20"/>
      <c r="NM139" s="20"/>
      <c r="NN139" s="20"/>
      <c r="NO139" s="20"/>
      <c r="NP139" s="20"/>
      <c r="NQ139" s="20"/>
      <c r="NR139" s="20"/>
      <c r="NS139" s="20"/>
      <c r="NT139" s="20"/>
      <c r="NU139" s="20"/>
      <c r="NV139" s="20"/>
      <c r="NW139" s="20"/>
      <c r="NX139" s="20"/>
      <c r="NY139" s="20"/>
      <c r="NZ139" s="20"/>
      <c r="OA139" s="20"/>
      <c r="OB139" s="20"/>
      <c r="OC139" s="20"/>
      <c r="OD139" s="20"/>
      <c r="OE139" s="20"/>
      <c r="OF139" s="20"/>
      <c r="OG139" s="20"/>
      <c r="OH139" s="20"/>
      <c r="OI139" s="20"/>
      <c r="OJ139" s="20"/>
      <c r="OK139" s="20"/>
      <c r="OL139" s="20"/>
      <c r="OM139" s="20"/>
      <c r="ON139" s="20"/>
      <c r="OO139" s="20"/>
      <c r="OP139" s="20"/>
      <c r="OQ139" s="20"/>
      <c r="OR139" s="20"/>
      <c r="OS139" s="20"/>
      <c r="OT139" s="20"/>
      <c r="OU139" s="20"/>
      <c r="OV139" s="20"/>
      <c r="OW139" s="20"/>
      <c r="OX139" s="20"/>
      <c r="OY139" s="20"/>
      <c r="OZ139" s="20"/>
      <c r="PA139" s="20"/>
      <c r="PB139" s="20"/>
      <c r="PC139" s="20"/>
      <c r="PD139" s="20"/>
      <c r="PE139" s="20"/>
      <c r="PF139" s="20"/>
      <c r="PG139" s="20"/>
      <c r="PH139" s="20"/>
      <c r="PI139" s="20"/>
      <c r="PJ139" s="20"/>
      <c r="PK139" s="20"/>
      <c r="PL139" s="20"/>
      <c r="PM139" s="20"/>
      <c r="PN139" s="20"/>
      <c r="PO139" s="20"/>
      <c r="PP139" s="20"/>
      <c r="PQ139" s="20"/>
      <c r="PR139" s="20"/>
      <c r="PS139" s="20"/>
      <c r="PT139" s="20"/>
      <c r="PU139" s="20"/>
      <c r="PV139" s="20"/>
      <c r="PW139" s="20"/>
      <c r="PX139" s="20"/>
      <c r="PY139" s="20"/>
      <c r="PZ139" s="20"/>
      <c r="QA139" s="20"/>
      <c r="QB139" s="20"/>
      <c r="QC139" s="20"/>
      <c r="QD139" s="20"/>
      <c r="QE139" s="20"/>
      <c r="QF139" s="20"/>
      <c r="QG139" s="20"/>
      <c r="QH139" s="20"/>
      <c r="QI139" s="20"/>
      <c r="QJ139" s="20"/>
      <c r="QK139" s="20"/>
      <c r="QL139" s="20"/>
      <c r="QM139" s="20"/>
      <c r="QN139" s="20"/>
      <c r="QO139" s="20"/>
      <c r="QP139" s="20"/>
      <c r="QQ139" s="20"/>
      <c r="QR139" s="20"/>
      <c r="QS139" s="20"/>
      <c r="QT139" s="20"/>
      <c r="QU139" s="20"/>
      <c r="QV139" s="20"/>
      <c r="QW139" s="20"/>
      <c r="QX139" s="20"/>
      <c r="QY139" s="20"/>
      <c r="QZ139" s="20"/>
      <c r="RA139" s="20"/>
      <c r="RB139" s="20"/>
      <c r="RC139" s="20"/>
      <c r="RD139" s="20"/>
      <c r="RE139" s="20"/>
      <c r="RF139" s="20"/>
      <c r="RG139" s="20"/>
      <c r="RH139" s="20"/>
      <c r="RI139" s="20"/>
      <c r="RJ139" s="20"/>
      <c r="RK139" s="20"/>
      <c r="RL139" s="20"/>
      <c r="RM139" s="20"/>
      <c r="RN139" s="20"/>
      <c r="RO139" s="20"/>
      <c r="RP139" s="20"/>
      <c r="RQ139" s="20"/>
      <c r="RR139" s="20"/>
      <c r="RS139" s="20"/>
      <c r="RT139" s="20"/>
      <c r="RU139" s="20"/>
      <c r="RV139" s="20"/>
      <c r="RW139" s="20"/>
      <c r="RX139" s="20"/>
      <c r="RY139" s="20"/>
      <c r="RZ139" s="20"/>
      <c r="SA139" s="20"/>
      <c r="SB139" s="20"/>
      <c r="SC139" s="20"/>
      <c r="SD139" s="20"/>
      <c r="SE139" s="20"/>
      <c r="SF139" s="20"/>
      <c r="SG139" s="20"/>
      <c r="SH139" s="20"/>
      <c r="SI139" s="20"/>
      <c r="SJ139" s="20"/>
      <c r="SK139" s="20"/>
      <c r="SL139" s="20"/>
      <c r="SM139" s="20"/>
      <c r="SN139" s="20"/>
      <c r="SO139" s="20"/>
      <c r="SP139" s="20"/>
      <c r="SQ139" s="20"/>
      <c r="SR139" s="20"/>
      <c r="SS139" s="20"/>
      <c r="ST139" s="20"/>
      <c r="SU139" s="20"/>
      <c r="SV139" s="20"/>
      <c r="SW139" s="20"/>
      <c r="SX139" s="20"/>
      <c r="SY139" s="20"/>
      <c r="SZ139" s="20"/>
      <c r="TA139" s="20"/>
      <c r="TB139" s="20"/>
      <c r="TC139" s="20"/>
      <c r="TD139" s="20"/>
      <c r="TE139" s="20"/>
      <c r="TF139" s="20"/>
      <c r="TG139" s="20"/>
      <c r="TH139" s="20"/>
      <c r="TI139" s="20"/>
      <c r="TJ139" s="20"/>
      <c r="TK139" s="20"/>
      <c r="TL139" s="20"/>
      <c r="TM139" s="20"/>
      <c r="TN139" s="20"/>
      <c r="TO139" s="20"/>
      <c r="TP139" s="20"/>
      <c r="TQ139" s="20"/>
      <c r="TR139" s="20"/>
      <c r="TS139" s="20"/>
      <c r="TT139" s="20"/>
      <c r="TU139" s="20"/>
      <c r="TV139" s="20"/>
      <c r="TW139" s="20"/>
      <c r="TX139" s="20"/>
      <c r="TY139" s="20"/>
      <c r="TZ139" s="20"/>
      <c r="UA139" s="20"/>
      <c r="UB139" s="20"/>
      <c r="UC139" s="20"/>
      <c r="UD139" s="20"/>
      <c r="UE139" s="20"/>
      <c r="UF139" s="20"/>
      <c r="UG139" s="20"/>
      <c r="UH139" s="20"/>
      <c r="UI139" s="20"/>
      <c r="UJ139" s="20"/>
      <c r="UK139" s="20"/>
      <c r="UL139" s="20"/>
      <c r="UM139" s="20"/>
      <c r="UN139" s="20"/>
      <c r="UO139" s="20"/>
      <c r="UP139" s="20"/>
      <c r="UQ139" s="20"/>
      <c r="UR139" s="20"/>
      <c r="US139" s="20"/>
      <c r="UT139" s="20"/>
      <c r="UU139" s="20"/>
      <c r="UV139" s="20"/>
      <c r="UW139" s="20"/>
      <c r="UX139" s="20"/>
      <c r="UY139" s="20"/>
      <c r="UZ139" s="20"/>
      <c r="VA139" s="20"/>
      <c r="VB139" s="20"/>
      <c r="VC139" s="20"/>
      <c r="VD139" s="20"/>
      <c r="VE139" s="20"/>
      <c r="VF139" s="20"/>
      <c r="VG139" s="20"/>
      <c r="VH139" s="20"/>
      <c r="VI139" s="20"/>
      <c r="VJ139" s="20"/>
      <c r="VK139" s="20"/>
      <c r="VL139" s="20"/>
      <c r="VM139" s="20"/>
      <c r="VN139" s="20"/>
      <c r="VO139" s="20"/>
      <c r="VP139" s="20"/>
      <c r="VQ139" s="20"/>
      <c r="VR139" s="20"/>
      <c r="VS139" s="20"/>
      <c r="VT139" s="20"/>
      <c r="VU139" s="20"/>
      <c r="VV139" s="20"/>
      <c r="VW139" s="20"/>
      <c r="VX139" s="20"/>
      <c r="VY139" s="20"/>
      <c r="VZ139" s="20"/>
      <c r="WA139" s="20"/>
      <c r="WB139" s="20"/>
      <c r="WC139" s="20"/>
      <c r="WD139" s="20"/>
      <c r="WE139" s="20"/>
      <c r="WF139" s="20"/>
      <c r="WG139" s="20"/>
      <c r="WH139" s="20"/>
      <c r="WI139" s="20"/>
      <c r="WJ139" s="20"/>
      <c r="WK139" s="20"/>
      <c r="WL139" s="20"/>
      <c r="WM139" s="20"/>
      <c r="WN139" s="20"/>
      <c r="WO139" s="20"/>
      <c r="WP139" s="20"/>
      <c r="WQ139" s="20"/>
      <c r="WR139" s="20"/>
      <c r="WS139" s="20"/>
      <c r="WT139" s="20"/>
      <c r="WU139" s="20"/>
      <c r="WV139" s="20"/>
      <c r="WW139" s="20"/>
      <c r="WX139" s="20"/>
      <c r="WY139" s="20"/>
      <c r="WZ139" s="20"/>
      <c r="XA139" s="20"/>
      <c r="XB139" s="20"/>
      <c r="XC139" s="20"/>
      <c r="XD139" s="20"/>
      <c r="XE139" s="20"/>
      <c r="XF139" s="20"/>
      <c r="XG139" s="20"/>
      <c r="XH139" s="20"/>
      <c r="XI139" s="20"/>
      <c r="XJ139" s="20"/>
      <c r="XK139" s="20"/>
      <c r="XL139" s="20"/>
      <c r="XM139" s="20"/>
      <c r="XN139" s="20"/>
      <c r="XO139" s="20"/>
      <c r="XP139" s="20"/>
      <c r="XQ139" s="20"/>
      <c r="XR139" s="20"/>
      <c r="XS139" s="20"/>
      <c r="XT139" s="20"/>
      <c r="XU139" s="20"/>
      <c r="XV139" s="20"/>
      <c r="XW139" s="20"/>
      <c r="XX139" s="20"/>
      <c r="XY139" s="20"/>
      <c r="XZ139" s="20"/>
      <c r="YA139" s="20"/>
      <c r="YB139" s="20"/>
      <c r="YC139" s="20"/>
      <c r="YD139" s="20"/>
      <c r="YE139" s="20"/>
      <c r="YF139" s="20"/>
      <c r="YG139" s="20"/>
      <c r="YH139" s="20"/>
      <c r="YI139" s="20"/>
      <c r="YJ139" s="20"/>
      <c r="YK139" s="20"/>
      <c r="YL139" s="20"/>
      <c r="YM139" s="20"/>
      <c r="YN139" s="20"/>
      <c r="YO139" s="20"/>
      <c r="YP139" s="20"/>
      <c r="YQ139" s="20"/>
      <c r="YR139" s="20"/>
      <c r="YS139" s="20"/>
      <c r="YT139" s="20"/>
      <c r="YU139" s="20"/>
      <c r="YV139" s="20"/>
      <c r="YW139" s="20"/>
      <c r="YX139" s="20"/>
      <c r="YY139" s="20"/>
      <c r="YZ139" s="20"/>
      <c r="ZA139" s="20"/>
      <c r="ZB139" s="20"/>
      <c r="ZC139" s="20"/>
      <c r="ZD139" s="20"/>
      <c r="ZE139" s="20"/>
      <c r="ZF139" s="20"/>
      <c r="ZG139" s="20"/>
      <c r="ZH139" s="20"/>
      <c r="ZI139" s="20"/>
      <c r="ZJ139" s="20"/>
      <c r="ZK139" s="20"/>
      <c r="ZL139" s="20"/>
      <c r="ZM139" s="20"/>
      <c r="ZN139" s="20"/>
      <c r="ZO139" s="20"/>
      <c r="ZP139" s="20"/>
      <c r="ZQ139" s="20"/>
      <c r="ZR139" s="20"/>
      <c r="ZS139" s="20"/>
      <c r="ZT139" s="20"/>
      <c r="ZU139" s="20"/>
      <c r="ZV139" s="20"/>
      <c r="ZW139" s="20"/>
      <c r="ZX139" s="20"/>
      <c r="ZY139" s="20"/>
      <c r="ZZ139" s="20"/>
      <c r="AAA139" s="20"/>
      <c r="AAB139" s="20"/>
      <c r="AAC139" s="20"/>
      <c r="AAD139" s="20"/>
      <c r="AAE139" s="20"/>
      <c r="AAF139" s="20"/>
      <c r="AAG139" s="20"/>
      <c r="AAH139" s="20"/>
      <c r="AAI139" s="20"/>
      <c r="AAJ139" s="20"/>
      <c r="AAK139" s="20"/>
      <c r="AAL139" s="20"/>
      <c r="AAM139" s="20"/>
      <c r="AAN139" s="20"/>
      <c r="AAO139" s="20"/>
      <c r="AAP139" s="20"/>
      <c r="AAQ139" s="20"/>
      <c r="AAR139" s="20"/>
      <c r="AAS139" s="20"/>
      <c r="AAT139" s="20"/>
      <c r="AAU139" s="20"/>
      <c r="AAV139" s="20"/>
      <c r="AAW139" s="20"/>
      <c r="AAX139" s="20"/>
      <c r="AAY139" s="20"/>
      <c r="AAZ139" s="20"/>
      <c r="ABA139" s="20"/>
      <c r="ABB139" s="20"/>
      <c r="ABC139" s="20"/>
      <c r="ABD139" s="20"/>
      <c r="ABE139" s="20"/>
      <c r="ABF139" s="20"/>
      <c r="ABG139" s="20"/>
      <c r="ABH139" s="20"/>
      <c r="ABI139" s="20"/>
      <c r="ABJ139" s="20"/>
      <c r="ABK139" s="20"/>
      <c r="ABL139" s="20"/>
      <c r="ABM139" s="20"/>
      <c r="ABN139" s="20"/>
      <c r="ABO139" s="20"/>
      <c r="ABP139" s="20"/>
      <c r="ABQ139" s="20"/>
      <c r="ABR139" s="20"/>
      <c r="ABS139" s="20"/>
      <c r="ABT139" s="20"/>
      <c r="ABU139" s="20"/>
      <c r="ABV139" s="20"/>
      <c r="ABW139" s="20"/>
      <c r="ABX139" s="20"/>
      <c r="ABY139" s="20"/>
      <c r="ABZ139" s="20"/>
      <c r="ACA139" s="20"/>
      <c r="ACB139" s="20"/>
      <c r="ACC139" s="20"/>
      <c r="ACD139" s="20"/>
      <c r="ACE139" s="20"/>
      <c r="ACF139" s="20"/>
      <c r="ACG139" s="20"/>
      <c r="ACH139" s="20"/>
      <c r="ACI139" s="20"/>
      <c r="ACJ139" s="20"/>
      <c r="ACK139" s="20"/>
      <c r="ACL139" s="20"/>
      <c r="ACM139" s="20"/>
      <c r="ACN139" s="20"/>
      <c r="ACO139" s="20"/>
      <c r="ACP139" s="20"/>
      <c r="ACQ139" s="20"/>
    </row>
    <row r="140" spans="1:771" s="62" customFormat="1" ht="51">
      <c r="A140" s="20"/>
      <c r="B140" s="61" t="s">
        <v>624</v>
      </c>
      <c r="D140" s="61" t="s">
        <v>625</v>
      </c>
      <c r="F140" s="63" t="s">
        <v>254</v>
      </c>
      <c r="H140" s="61" t="s">
        <v>298</v>
      </c>
      <c r="J140" s="61" t="s">
        <v>605</v>
      </c>
      <c r="L140" s="61" t="s">
        <v>74</v>
      </c>
      <c r="N140" s="61" t="s">
        <v>178</v>
      </c>
      <c r="P140" s="61" t="s">
        <v>626</v>
      </c>
      <c r="R140" s="64" t="s">
        <v>607</v>
      </c>
      <c r="T140" s="73" t="s">
        <v>265</v>
      </c>
      <c r="U140" s="66"/>
      <c r="V140" s="67" t="s">
        <v>79</v>
      </c>
      <c r="W140" s="68"/>
      <c r="X140" s="67" t="s">
        <v>80</v>
      </c>
      <c r="Y140" s="68"/>
      <c r="Z140" s="67" t="s">
        <v>80</v>
      </c>
      <c r="AA140" s="68"/>
      <c r="AB140" s="67" t="s">
        <v>80</v>
      </c>
      <c r="AD140" s="63" t="s">
        <v>619</v>
      </c>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c r="IS140" s="20"/>
      <c r="IT140" s="20"/>
      <c r="IU140" s="20"/>
      <c r="IV140" s="20"/>
      <c r="IW140" s="20"/>
      <c r="IX140" s="20"/>
      <c r="IY140" s="20"/>
      <c r="IZ140" s="20"/>
      <c r="JA140" s="20"/>
      <c r="JB140" s="20"/>
      <c r="JC140" s="20"/>
      <c r="JD140" s="20"/>
      <c r="JE140" s="20"/>
      <c r="JF140" s="20"/>
      <c r="JG140" s="20"/>
      <c r="JH140" s="20"/>
      <c r="JI140" s="20"/>
      <c r="JJ140" s="20"/>
      <c r="JK140" s="20"/>
      <c r="JL140" s="20"/>
      <c r="JM140" s="20"/>
      <c r="JN140" s="20"/>
      <c r="JO140" s="20"/>
      <c r="JP140" s="20"/>
      <c r="JQ140" s="20"/>
      <c r="JR140" s="20"/>
      <c r="JS140" s="20"/>
      <c r="JT140" s="20"/>
      <c r="JU140" s="20"/>
      <c r="JV140" s="20"/>
      <c r="JW140" s="20"/>
      <c r="JX140" s="20"/>
      <c r="JY140" s="20"/>
      <c r="JZ140" s="20"/>
      <c r="KA140" s="20"/>
      <c r="KB140" s="20"/>
      <c r="KC140" s="20"/>
      <c r="KD140" s="20"/>
      <c r="KE140" s="20"/>
      <c r="KF140" s="20"/>
      <c r="KG140" s="20"/>
      <c r="KH140" s="20"/>
      <c r="KI140" s="20"/>
      <c r="KJ140" s="20"/>
      <c r="KK140" s="20"/>
      <c r="KL140" s="20"/>
      <c r="KM140" s="20"/>
      <c r="KN140" s="20"/>
      <c r="KO140" s="20"/>
      <c r="KP140" s="20"/>
      <c r="KQ140" s="20"/>
      <c r="KR140" s="20"/>
      <c r="KS140" s="20"/>
      <c r="KT140" s="20"/>
      <c r="KU140" s="20"/>
      <c r="KV140" s="20"/>
      <c r="KW140" s="20"/>
      <c r="KX140" s="20"/>
      <c r="KY140" s="20"/>
      <c r="KZ140" s="20"/>
      <c r="LA140" s="20"/>
      <c r="LB140" s="20"/>
      <c r="LC140" s="20"/>
      <c r="LD140" s="20"/>
      <c r="LE140" s="20"/>
      <c r="LF140" s="20"/>
      <c r="LG140" s="20"/>
      <c r="LH140" s="20"/>
      <c r="LI140" s="20"/>
      <c r="LJ140" s="20"/>
      <c r="LK140" s="20"/>
      <c r="LL140" s="20"/>
      <c r="LM140" s="20"/>
      <c r="LN140" s="20"/>
      <c r="LO140" s="20"/>
      <c r="LP140" s="20"/>
      <c r="LQ140" s="20"/>
      <c r="LR140" s="20"/>
      <c r="LS140" s="20"/>
      <c r="LT140" s="20"/>
      <c r="LU140" s="20"/>
      <c r="LV140" s="20"/>
      <c r="LW140" s="20"/>
      <c r="LX140" s="20"/>
      <c r="LY140" s="20"/>
      <c r="LZ140" s="20"/>
      <c r="MA140" s="20"/>
      <c r="MB140" s="20"/>
      <c r="MC140" s="20"/>
      <c r="MD140" s="20"/>
      <c r="ME140" s="20"/>
      <c r="MF140" s="20"/>
      <c r="MG140" s="20"/>
      <c r="MH140" s="20"/>
      <c r="MI140" s="20"/>
      <c r="MJ140" s="20"/>
      <c r="MK140" s="20"/>
      <c r="ML140" s="20"/>
      <c r="MM140" s="20"/>
      <c r="MN140" s="20"/>
      <c r="MO140" s="20"/>
      <c r="MP140" s="20"/>
      <c r="MQ140" s="20"/>
      <c r="MR140" s="20"/>
      <c r="MS140" s="20"/>
      <c r="MT140" s="20"/>
      <c r="MU140" s="20"/>
      <c r="MV140" s="20"/>
      <c r="MW140" s="20"/>
      <c r="MX140" s="20"/>
      <c r="MY140" s="20"/>
      <c r="MZ140" s="20"/>
      <c r="NA140" s="20"/>
      <c r="NB140" s="20"/>
      <c r="NC140" s="20"/>
      <c r="ND140" s="20"/>
      <c r="NE140" s="20"/>
      <c r="NF140" s="20"/>
      <c r="NG140" s="20"/>
      <c r="NH140" s="20"/>
      <c r="NI140" s="20"/>
      <c r="NJ140" s="20"/>
      <c r="NK140" s="20"/>
      <c r="NL140" s="20"/>
      <c r="NM140" s="20"/>
      <c r="NN140" s="20"/>
      <c r="NO140" s="20"/>
      <c r="NP140" s="20"/>
      <c r="NQ140" s="20"/>
      <c r="NR140" s="20"/>
      <c r="NS140" s="20"/>
      <c r="NT140" s="20"/>
      <c r="NU140" s="20"/>
      <c r="NV140" s="20"/>
      <c r="NW140" s="20"/>
      <c r="NX140" s="20"/>
      <c r="NY140" s="20"/>
      <c r="NZ140" s="20"/>
      <c r="OA140" s="20"/>
      <c r="OB140" s="20"/>
      <c r="OC140" s="20"/>
      <c r="OD140" s="20"/>
      <c r="OE140" s="20"/>
      <c r="OF140" s="20"/>
      <c r="OG140" s="20"/>
      <c r="OH140" s="20"/>
      <c r="OI140" s="20"/>
      <c r="OJ140" s="20"/>
      <c r="OK140" s="20"/>
      <c r="OL140" s="20"/>
      <c r="OM140" s="20"/>
      <c r="ON140" s="20"/>
      <c r="OO140" s="20"/>
      <c r="OP140" s="20"/>
      <c r="OQ140" s="20"/>
      <c r="OR140" s="20"/>
      <c r="OS140" s="20"/>
      <c r="OT140" s="20"/>
      <c r="OU140" s="20"/>
      <c r="OV140" s="20"/>
      <c r="OW140" s="20"/>
      <c r="OX140" s="20"/>
      <c r="OY140" s="20"/>
      <c r="OZ140" s="20"/>
      <c r="PA140" s="20"/>
      <c r="PB140" s="20"/>
      <c r="PC140" s="20"/>
      <c r="PD140" s="20"/>
      <c r="PE140" s="20"/>
      <c r="PF140" s="20"/>
      <c r="PG140" s="20"/>
      <c r="PH140" s="20"/>
      <c r="PI140" s="20"/>
      <c r="PJ140" s="20"/>
      <c r="PK140" s="20"/>
      <c r="PL140" s="20"/>
      <c r="PM140" s="20"/>
      <c r="PN140" s="20"/>
      <c r="PO140" s="20"/>
      <c r="PP140" s="20"/>
      <c r="PQ140" s="20"/>
      <c r="PR140" s="20"/>
      <c r="PS140" s="20"/>
      <c r="PT140" s="20"/>
      <c r="PU140" s="20"/>
      <c r="PV140" s="20"/>
      <c r="PW140" s="20"/>
      <c r="PX140" s="20"/>
      <c r="PY140" s="20"/>
      <c r="PZ140" s="20"/>
      <c r="QA140" s="20"/>
      <c r="QB140" s="20"/>
      <c r="QC140" s="20"/>
      <c r="QD140" s="20"/>
      <c r="QE140" s="20"/>
      <c r="QF140" s="20"/>
      <c r="QG140" s="20"/>
      <c r="QH140" s="20"/>
      <c r="QI140" s="20"/>
      <c r="QJ140" s="20"/>
      <c r="QK140" s="20"/>
      <c r="QL140" s="20"/>
      <c r="QM140" s="20"/>
      <c r="QN140" s="20"/>
      <c r="QO140" s="20"/>
      <c r="QP140" s="20"/>
      <c r="QQ140" s="20"/>
      <c r="QR140" s="20"/>
      <c r="QS140" s="20"/>
      <c r="QT140" s="20"/>
      <c r="QU140" s="20"/>
      <c r="QV140" s="20"/>
      <c r="QW140" s="20"/>
      <c r="QX140" s="20"/>
      <c r="QY140" s="20"/>
      <c r="QZ140" s="20"/>
      <c r="RA140" s="20"/>
      <c r="RB140" s="20"/>
      <c r="RC140" s="20"/>
      <c r="RD140" s="20"/>
      <c r="RE140" s="20"/>
      <c r="RF140" s="20"/>
      <c r="RG140" s="20"/>
      <c r="RH140" s="20"/>
      <c r="RI140" s="20"/>
      <c r="RJ140" s="20"/>
      <c r="RK140" s="20"/>
      <c r="RL140" s="20"/>
      <c r="RM140" s="20"/>
      <c r="RN140" s="20"/>
      <c r="RO140" s="20"/>
      <c r="RP140" s="20"/>
      <c r="RQ140" s="20"/>
      <c r="RR140" s="20"/>
      <c r="RS140" s="20"/>
      <c r="RT140" s="20"/>
      <c r="RU140" s="20"/>
      <c r="RV140" s="20"/>
      <c r="RW140" s="20"/>
      <c r="RX140" s="20"/>
      <c r="RY140" s="20"/>
      <c r="RZ140" s="20"/>
      <c r="SA140" s="20"/>
      <c r="SB140" s="20"/>
      <c r="SC140" s="20"/>
      <c r="SD140" s="20"/>
      <c r="SE140" s="20"/>
      <c r="SF140" s="20"/>
      <c r="SG140" s="20"/>
      <c r="SH140" s="20"/>
      <c r="SI140" s="20"/>
      <c r="SJ140" s="20"/>
      <c r="SK140" s="20"/>
      <c r="SL140" s="20"/>
      <c r="SM140" s="20"/>
      <c r="SN140" s="20"/>
      <c r="SO140" s="20"/>
      <c r="SP140" s="20"/>
      <c r="SQ140" s="20"/>
      <c r="SR140" s="20"/>
      <c r="SS140" s="20"/>
      <c r="ST140" s="20"/>
      <c r="SU140" s="20"/>
      <c r="SV140" s="20"/>
      <c r="SW140" s="20"/>
      <c r="SX140" s="20"/>
      <c r="SY140" s="20"/>
      <c r="SZ140" s="20"/>
      <c r="TA140" s="20"/>
      <c r="TB140" s="20"/>
      <c r="TC140" s="20"/>
      <c r="TD140" s="20"/>
      <c r="TE140" s="20"/>
      <c r="TF140" s="20"/>
      <c r="TG140" s="20"/>
      <c r="TH140" s="20"/>
      <c r="TI140" s="20"/>
      <c r="TJ140" s="20"/>
      <c r="TK140" s="20"/>
      <c r="TL140" s="20"/>
      <c r="TM140" s="20"/>
      <c r="TN140" s="20"/>
      <c r="TO140" s="20"/>
      <c r="TP140" s="20"/>
      <c r="TQ140" s="20"/>
      <c r="TR140" s="20"/>
      <c r="TS140" s="20"/>
      <c r="TT140" s="20"/>
      <c r="TU140" s="20"/>
      <c r="TV140" s="20"/>
      <c r="TW140" s="20"/>
      <c r="TX140" s="20"/>
      <c r="TY140" s="20"/>
      <c r="TZ140" s="20"/>
      <c r="UA140" s="20"/>
      <c r="UB140" s="20"/>
      <c r="UC140" s="20"/>
      <c r="UD140" s="20"/>
      <c r="UE140" s="20"/>
      <c r="UF140" s="20"/>
      <c r="UG140" s="20"/>
      <c r="UH140" s="20"/>
      <c r="UI140" s="20"/>
      <c r="UJ140" s="20"/>
      <c r="UK140" s="20"/>
      <c r="UL140" s="20"/>
      <c r="UM140" s="20"/>
      <c r="UN140" s="20"/>
      <c r="UO140" s="20"/>
      <c r="UP140" s="20"/>
      <c r="UQ140" s="20"/>
      <c r="UR140" s="20"/>
      <c r="US140" s="20"/>
      <c r="UT140" s="20"/>
      <c r="UU140" s="20"/>
      <c r="UV140" s="20"/>
      <c r="UW140" s="20"/>
      <c r="UX140" s="20"/>
      <c r="UY140" s="20"/>
      <c r="UZ140" s="20"/>
      <c r="VA140" s="20"/>
      <c r="VB140" s="20"/>
      <c r="VC140" s="20"/>
      <c r="VD140" s="20"/>
      <c r="VE140" s="20"/>
      <c r="VF140" s="20"/>
      <c r="VG140" s="20"/>
      <c r="VH140" s="20"/>
      <c r="VI140" s="20"/>
      <c r="VJ140" s="20"/>
      <c r="VK140" s="20"/>
      <c r="VL140" s="20"/>
      <c r="VM140" s="20"/>
      <c r="VN140" s="20"/>
      <c r="VO140" s="20"/>
      <c r="VP140" s="20"/>
      <c r="VQ140" s="20"/>
      <c r="VR140" s="20"/>
      <c r="VS140" s="20"/>
      <c r="VT140" s="20"/>
      <c r="VU140" s="20"/>
      <c r="VV140" s="20"/>
      <c r="VW140" s="20"/>
      <c r="VX140" s="20"/>
      <c r="VY140" s="20"/>
      <c r="VZ140" s="20"/>
      <c r="WA140" s="20"/>
      <c r="WB140" s="20"/>
      <c r="WC140" s="20"/>
      <c r="WD140" s="20"/>
      <c r="WE140" s="20"/>
      <c r="WF140" s="20"/>
      <c r="WG140" s="20"/>
      <c r="WH140" s="20"/>
      <c r="WI140" s="20"/>
      <c r="WJ140" s="20"/>
      <c r="WK140" s="20"/>
      <c r="WL140" s="20"/>
      <c r="WM140" s="20"/>
      <c r="WN140" s="20"/>
      <c r="WO140" s="20"/>
      <c r="WP140" s="20"/>
      <c r="WQ140" s="20"/>
      <c r="WR140" s="20"/>
      <c r="WS140" s="20"/>
      <c r="WT140" s="20"/>
      <c r="WU140" s="20"/>
      <c r="WV140" s="20"/>
      <c r="WW140" s="20"/>
      <c r="WX140" s="20"/>
      <c r="WY140" s="20"/>
      <c r="WZ140" s="20"/>
      <c r="XA140" s="20"/>
      <c r="XB140" s="20"/>
      <c r="XC140" s="20"/>
      <c r="XD140" s="20"/>
      <c r="XE140" s="20"/>
      <c r="XF140" s="20"/>
      <c r="XG140" s="20"/>
      <c r="XH140" s="20"/>
      <c r="XI140" s="20"/>
      <c r="XJ140" s="20"/>
      <c r="XK140" s="20"/>
      <c r="XL140" s="20"/>
      <c r="XM140" s="20"/>
      <c r="XN140" s="20"/>
      <c r="XO140" s="20"/>
      <c r="XP140" s="20"/>
      <c r="XQ140" s="20"/>
      <c r="XR140" s="20"/>
      <c r="XS140" s="20"/>
      <c r="XT140" s="20"/>
      <c r="XU140" s="20"/>
      <c r="XV140" s="20"/>
      <c r="XW140" s="20"/>
      <c r="XX140" s="20"/>
      <c r="XY140" s="20"/>
      <c r="XZ140" s="20"/>
      <c r="YA140" s="20"/>
      <c r="YB140" s="20"/>
      <c r="YC140" s="20"/>
      <c r="YD140" s="20"/>
      <c r="YE140" s="20"/>
      <c r="YF140" s="20"/>
      <c r="YG140" s="20"/>
      <c r="YH140" s="20"/>
      <c r="YI140" s="20"/>
      <c r="YJ140" s="20"/>
      <c r="YK140" s="20"/>
      <c r="YL140" s="20"/>
      <c r="YM140" s="20"/>
      <c r="YN140" s="20"/>
      <c r="YO140" s="20"/>
      <c r="YP140" s="20"/>
      <c r="YQ140" s="20"/>
      <c r="YR140" s="20"/>
      <c r="YS140" s="20"/>
      <c r="YT140" s="20"/>
      <c r="YU140" s="20"/>
      <c r="YV140" s="20"/>
      <c r="YW140" s="20"/>
      <c r="YX140" s="20"/>
      <c r="YY140" s="20"/>
      <c r="YZ140" s="20"/>
      <c r="ZA140" s="20"/>
      <c r="ZB140" s="20"/>
      <c r="ZC140" s="20"/>
      <c r="ZD140" s="20"/>
      <c r="ZE140" s="20"/>
      <c r="ZF140" s="20"/>
      <c r="ZG140" s="20"/>
      <c r="ZH140" s="20"/>
      <c r="ZI140" s="20"/>
      <c r="ZJ140" s="20"/>
      <c r="ZK140" s="20"/>
      <c r="ZL140" s="20"/>
      <c r="ZM140" s="20"/>
      <c r="ZN140" s="20"/>
      <c r="ZO140" s="20"/>
      <c r="ZP140" s="20"/>
      <c r="ZQ140" s="20"/>
      <c r="ZR140" s="20"/>
      <c r="ZS140" s="20"/>
      <c r="ZT140" s="20"/>
      <c r="ZU140" s="20"/>
      <c r="ZV140" s="20"/>
      <c r="ZW140" s="20"/>
      <c r="ZX140" s="20"/>
      <c r="ZY140" s="20"/>
      <c r="ZZ140" s="20"/>
      <c r="AAA140" s="20"/>
      <c r="AAB140" s="20"/>
      <c r="AAC140" s="20"/>
      <c r="AAD140" s="20"/>
      <c r="AAE140" s="20"/>
      <c r="AAF140" s="20"/>
      <c r="AAG140" s="20"/>
      <c r="AAH140" s="20"/>
      <c r="AAI140" s="20"/>
      <c r="AAJ140" s="20"/>
      <c r="AAK140" s="20"/>
      <c r="AAL140" s="20"/>
      <c r="AAM140" s="20"/>
      <c r="AAN140" s="20"/>
      <c r="AAO140" s="20"/>
      <c r="AAP140" s="20"/>
      <c r="AAQ140" s="20"/>
      <c r="AAR140" s="20"/>
      <c r="AAS140" s="20"/>
      <c r="AAT140" s="20"/>
      <c r="AAU140" s="20"/>
      <c r="AAV140" s="20"/>
      <c r="AAW140" s="20"/>
      <c r="AAX140" s="20"/>
      <c r="AAY140" s="20"/>
      <c r="AAZ140" s="20"/>
      <c r="ABA140" s="20"/>
      <c r="ABB140" s="20"/>
      <c r="ABC140" s="20"/>
      <c r="ABD140" s="20"/>
      <c r="ABE140" s="20"/>
      <c r="ABF140" s="20"/>
      <c r="ABG140" s="20"/>
      <c r="ABH140" s="20"/>
      <c r="ABI140" s="20"/>
      <c r="ABJ140" s="20"/>
      <c r="ABK140" s="20"/>
      <c r="ABL140" s="20"/>
      <c r="ABM140" s="20"/>
      <c r="ABN140" s="20"/>
      <c r="ABO140" s="20"/>
      <c r="ABP140" s="20"/>
      <c r="ABQ140" s="20"/>
      <c r="ABR140" s="20"/>
      <c r="ABS140" s="20"/>
      <c r="ABT140" s="20"/>
      <c r="ABU140" s="20"/>
      <c r="ABV140" s="20"/>
      <c r="ABW140" s="20"/>
      <c r="ABX140" s="20"/>
      <c r="ABY140" s="20"/>
      <c r="ABZ140" s="20"/>
      <c r="ACA140" s="20"/>
      <c r="ACB140" s="20"/>
      <c r="ACC140" s="20"/>
      <c r="ACD140" s="20"/>
      <c r="ACE140" s="20"/>
      <c r="ACF140" s="20"/>
      <c r="ACG140" s="20"/>
      <c r="ACH140" s="20"/>
      <c r="ACI140" s="20"/>
      <c r="ACJ140" s="20"/>
      <c r="ACK140" s="20"/>
      <c r="ACL140" s="20"/>
      <c r="ACM140" s="20"/>
      <c r="ACN140" s="20"/>
      <c r="ACO140" s="20"/>
      <c r="ACP140" s="20"/>
      <c r="ACQ140" s="20"/>
    </row>
    <row r="141" spans="1:771" s="62" customFormat="1" ht="153">
      <c r="A141" s="20"/>
      <c r="B141" s="61" t="s">
        <v>627</v>
      </c>
      <c r="D141" s="61" t="s">
        <v>628</v>
      </c>
      <c r="F141" s="63" t="s">
        <v>254</v>
      </c>
      <c r="H141" s="61" t="s">
        <v>298</v>
      </c>
      <c r="J141" s="61" t="s">
        <v>605</v>
      </c>
      <c r="L141" s="61" t="s">
        <v>74</v>
      </c>
      <c r="N141" s="61" t="s">
        <v>178</v>
      </c>
      <c r="P141" s="61" t="s">
        <v>629</v>
      </c>
      <c r="R141" s="64" t="s">
        <v>607</v>
      </c>
      <c r="T141" s="73" t="s">
        <v>265</v>
      </c>
      <c r="U141" s="66"/>
      <c r="V141" s="67" t="s">
        <v>79</v>
      </c>
      <c r="W141" s="68"/>
      <c r="X141" s="67" t="s">
        <v>80</v>
      </c>
      <c r="Y141" s="68"/>
      <c r="Z141" s="67" t="s">
        <v>80</v>
      </c>
      <c r="AA141" s="68"/>
      <c r="AB141" s="67" t="s">
        <v>80</v>
      </c>
      <c r="AD141" s="63" t="s">
        <v>623</v>
      </c>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0"/>
      <c r="IO141" s="20"/>
      <c r="IP141" s="20"/>
      <c r="IQ141" s="20"/>
      <c r="IR141" s="20"/>
      <c r="IS141" s="20"/>
      <c r="IT141" s="20"/>
      <c r="IU141" s="20"/>
      <c r="IV141" s="20"/>
      <c r="IW141" s="20"/>
      <c r="IX141" s="20"/>
      <c r="IY141" s="20"/>
      <c r="IZ141" s="20"/>
      <c r="JA141" s="20"/>
      <c r="JB141" s="20"/>
      <c r="JC141" s="20"/>
      <c r="JD141" s="20"/>
      <c r="JE141" s="20"/>
      <c r="JF141" s="20"/>
      <c r="JG141" s="20"/>
      <c r="JH141" s="20"/>
      <c r="JI141" s="20"/>
      <c r="JJ141" s="20"/>
      <c r="JK141" s="20"/>
      <c r="JL141" s="20"/>
      <c r="JM141" s="20"/>
      <c r="JN141" s="20"/>
      <c r="JO141" s="20"/>
      <c r="JP141" s="20"/>
      <c r="JQ141" s="20"/>
      <c r="JR141" s="20"/>
      <c r="JS141" s="20"/>
      <c r="JT141" s="20"/>
      <c r="JU141" s="20"/>
      <c r="JV141" s="20"/>
      <c r="JW141" s="20"/>
      <c r="JX141" s="20"/>
      <c r="JY141" s="20"/>
      <c r="JZ141" s="20"/>
      <c r="KA141" s="20"/>
      <c r="KB141" s="20"/>
      <c r="KC141" s="20"/>
      <c r="KD141" s="20"/>
      <c r="KE141" s="20"/>
      <c r="KF141" s="20"/>
      <c r="KG141" s="20"/>
      <c r="KH141" s="20"/>
      <c r="KI141" s="20"/>
      <c r="KJ141" s="20"/>
      <c r="KK141" s="20"/>
      <c r="KL141" s="20"/>
      <c r="KM141" s="20"/>
      <c r="KN141" s="20"/>
      <c r="KO141" s="20"/>
      <c r="KP141" s="20"/>
      <c r="KQ141" s="20"/>
      <c r="KR141" s="20"/>
      <c r="KS141" s="20"/>
      <c r="KT141" s="20"/>
      <c r="KU141" s="20"/>
      <c r="KV141" s="20"/>
      <c r="KW141" s="20"/>
      <c r="KX141" s="20"/>
      <c r="KY141" s="20"/>
      <c r="KZ141" s="20"/>
      <c r="LA141" s="20"/>
      <c r="LB141" s="20"/>
      <c r="LC141" s="20"/>
      <c r="LD141" s="20"/>
      <c r="LE141" s="20"/>
      <c r="LF141" s="20"/>
      <c r="LG141" s="20"/>
      <c r="LH141" s="20"/>
      <c r="LI141" s="20"/>
      <c r="LJ141" s="20"/>
      <c r="LK141" s="20"/>
      <c r="LL141" s="20"/>
      <c r="LM141" s="20"/>
      <c r="LN141" s="20"/>
      <c r="LO141" s="20"/>
      <c r="LP141" s="20"/>
      <c r="LQ141" s="20"/>
      <c r="LR141" s="20"/>
      <c r="LS141" s="20"/>
      <c r="LT141" s="20"/>
      <c r="LU141" s="20"/>
      <c r="LV141" s="20"/>
      <c r="LW141" s="20"/>
      <c r="LX141" s="20"/>
      <c r="LY141" s="20"/>
      <c r="LZ141" s="20"/>
      <c r="MA141" s="20"/>
      <c r="MB141" s="20"/>
      <c r="MC141" s="20"/>
      <c r="MD141" s="20"/>
      <c r="ME141" s="20"/>
      <c r="MF141" s="20"/>
      <c r="MG141" s="20"/>
      <c r="MH141" s="20"/>
      <c r="MI141" s="20"/>
      <c r="MJ141" s="20"/>
      <c r="MK141" s="20"/>
      <c r="ML141" s="20"/>
      <c r="MM141" s="20"/>
      <c r="MN141" s="20"/>
      <c r="MO141" s="20"/>
      <c r="MP141" s="20"/>
      <c r="MQ141" s="20"/>
      <c r="MR141" s="20"/>
      <c r="MS141" s="20"/>
      <c r="MT141" s="20"/>
      <c r="MU141" s="20"/>
      <c r="MV141" s="20"/>
      <c r="MW141" s="20"/>
      <c r="MX141" s="20"/>
      <c r="MY141" s="20"/>
      <c r="MZ141" s="20"/>
      <c r="NA141" s="20"/>
      <c r="NB141" s="20"/>
      <c r="NC141" s="20"/>
      <c r="ND141" s="20"/>
      <c r="NE141" s="20"/>
      <c r="NF141" s="20"/>
      <c r="NG141" s="20"/>
      <c r="NH141" s="20"/>
      <c r="NI141" s="20"/>
      <c r="NJ141" s="20"/>
      <c r="NK141" s="20"/>
      <c r="NL141" s="20"/>
      <c r="NM141" s="20"/>
      <c r="NN141" s="20"/>
      <c r="NO141" s="20"/>
      <c r="NP141" s="20"/>
      <c r="NQ141" s="20"/>
      <c r="NR141" s="20"/>
      <c r="NS141" s="20"/>
      <c r="NT141" s="20"/>
      <c r="NU141" s="20"/>
      <c r="NV141" s="20"/>
      <c r="NW141" s="20"/>
      <c r="NX141" s="20"/>
      <c r="NY141" s="20"/>
      <c r="NZ141" s="20"/>
      <c r="OA141" s="20"/>
      <c r="OB141" s="20"/>
      <c r="OC141" s="20"/>
      <c r="OD141" s="20"/>
      <c r="OE141" s="20"/>
      <c r="OF141" s="20"/>
      <c r="OG141" s="20"/>
      <c r="OH141" s="20"/>
      <c r="OI141" s="20"/>
      <c r="OJ141" s="20"/>
      <c r="OK141" s="20"/>
      <c r="OL141" s="20"/>
      <c r="OM141" s="20"/>
      <c r="ON141" s="20"/>
      <c r="OO141" s="20"/>
      <c r="OP141" s="20"/>
      <c r="OQ141" s="20"/>
      <c r="OR141" s="20"/>
      <c r="OS141" s="20"/>
      <c r="OT141" s="20"/>
      <c r="OU141" s="20"/>
      <c r="OV141" s="20"/>
      <c r="OW141" s="20"/>
      <c r="OX141" s="20"/>
      <c r="OY141" s="20"/>
      <c r="OZ141" s="20"/>
      <c r="PA141" s="20"/>
      <c r="PB141" s="20"/>
      <c r="PC141" s="20"/>
      <c r="PD141" s="20"/>
      <c r="PE141" s="20"/>
      <c r="PF141" s="20"/>
      <c r="PG141" s="20"/>
      <c r="PH141" s="20"/>
      <c r="PI141" s="20"/>
      <c r="PJ141" s="20"/>
      <c r="PK141" s="20"/>
      <c r="PL141" s="20"/>
      <c r="PM141" s="20"/>
      <c r="PN141" s="20"/>
      <c r="PO141" s="20"/>
      <c r="PP141" s="20"/>
      <c r="PQ141" s="20"/>
      <c r="PR141" s="20"/>
      <c r="PS141" s="20"/>
      <c r="PT141" s="20"/>
      <c r="PU141" s="20"/>
      <c r="PV141" s="20"/>
      <c r="PW141" s="20"/>
      <c r="PX141" s="20"/>
      <c r="PY141" s="20"/>
      <c r="PZ141" s="20"/>
      <c r="QA141" s="20"/>
      <c r="QB141" s="20"/>
      <c r="QC141" s="20"/>
      <c r="QD141" s="20"/>
      <c r="QE141" s="20"/>
      <c r="QF141" s="20"/>
      <c r="QG141" s="20"/>
      <c r="QH141" s="20"/>
      <c r="QI141" s="20"/>
      <c r="QJ141" s="20"/>
      <c r="QK141" s="20"/>
      <c r="QL141" s="20"/>
      <c r="QM141" s="20"/>
      <c r="QN141" s="20"/>
      <c r="QO141" s="20"/>
      <c r="QP141" s="20"/>
      <c r="QQ141" s="20"/>
      <c r="QR141" s="20"/>
      <c r="QS141" s="20"/>
      <c r="QT141" s="20"/>
      <c r="QU141" s="20"/>
      <c r="QV141" s="20"/>
      <c r="QW141" s="20"/>
      <c r="QX141" s="20"/>
      <c r="QY141" s="20"/>
      <c r="QZ141" s="20"/>
      <c r="RA141" s="20"/>
      <c r="RB141" s="20"/>
      <c r="RC141" s="20"/>
      <c r="RD141" s="20"/>
      <c r="RE141" s="20"/>
      <c r="RF141" s="20"/>
      <c r="RG141" s="20"/>
      <c r="RH141" s="20"/>
      <c r="RI141" s="20"/>
      <c r="RJ141" s="20"/>
      <c r="RK141" s="20"/>
      <c r="RL141" s="20"/>
      <c r="RM141" s="20"/>
      <c r="RN141" s="20"/>
      <c r="RO141" s="20"/>
      <c r="RP141" s="20"/>
      <c r="RQ141" s="20"/>
      <c r="RR141" s="20"/>
      <c r="RS141" s="20"/>
      <c r="RT141" s="20"/>
      <c r="RU141" s="20"/>
      <c r="RV141" s="20"/>
      <c r="RW141" s="20"/>
      <c r="RX141" s="20"/>
      <c r="RY141" s="20"/>
      <c r="RZ141" s="20"/>
      <c r="SA141" s="20"/>
      <c r="SB141" s="20"/>
      <c r="SC141" s="20"/>
      <c r="SD141" s="20"/>
      <c r="SE141" s="20"/>
      <c r="SF141" s="20"/>
      <c r="SG141" s="20"/>
      <c r="SH141" s="20"/>
      <c r="SI141" s="20"/>
      <c r="SJ141" s="20"/>
      <c r="SK141" s="20"/>
      <c r="SL141" s="20"/>
      <c r="SM141" s="20"/>
      <c r="SN141" s="20"/>
      <c r="SO141" s="20"/>
      <c r="SP141" s="20"/>
      <c r="SQ141" s="20"/>
      <c r="SR141" s="20"/>
      <c r="SS141" s="20"/>
      <c r="ST141" s="20"/>
      <c r="SU141" s="20"/>
      <c r="SV141" s="20"/>
      <c r="SW141" s="20"/>
      <c r="SX141" s="20"/>
      <c r="SY141" s="20"/>
      <c r="SZ141" s="20"/>
      <c r="TA141" s="20"/>
      <c r="TB141" s="20"/>
      <c r="TC141" s="20"/>
      <c r="TD141" s="20"/>
      <c r="TE141" s="20"/>
      <c r="TF141" s="20"/>
      <c r="TG141" s="20"/>
      <c r="TH141" s="20"/>
      <c r="TI141" s="20"/>
      <c r="TJ141" s="20"/>
      <c r="TK141" s="20"/>
      <c r="TL141" s="20"/>
      <c r="TM141" s="20"/>
      <c r="TN141" s="20"/>
      <c r="TO141" s="20"/>
      <c r="TP141" s="20"/>
      <c r="TQ141" s="20"/>
      <c r="TR141" s="20"/>
      <c r="TS141" s="20"/>
      <c r="TT141" s="20"/>
      <c r="TU141" s="20"/>
      <c r="TV141" s="20"/>
      <c r="TW141" s="20"/>
      <c r="TX141" s="20"/>
      <c r="TY141" s="20"/>
      <c r="TZ141" s="20"/>
      <c r="UA141" s="20"/>
      <c r="UB141" s="20"/>
      <c r="UC141" s="20"/>
      <c r="UD141" s="20"/>
      <c r="UE141" s="20"/>
      <c r="UF141" s="20"/>
      <c r="UG141" s="20"/>
      <c r="UH141" s="20"/>
      <c r="UI141" s="20"/>
      <c r="UJ141" s="20"/>
      <c r="UK141" s="20"/>
      <c r="UL141" s="20"/>
      <c r="UM141" s="20"/>
      <c r="UN141" s="20"/>
      <c r="UO141" s="20"/>
      <c r="UP141" s="20"/>
      <c r="UQ141" s="20"/>
      <c r="UR141" s="20"/>
      <c r="US141" s="20"/>
      <c r="UT141" s="20"/>
      <c r="UU141" s="20"/>
      <c r="UV141" s="20"/>
      <c r="UW141" s="20"/>
      <c r="UX141" s="20"/>
      <c r="UY141" s="20"/>
      <c r="UZ141" s="20"/>
      <c r="VA141" s="20"/>
      <c r="VB141" s="20"/>
      <c r="VC141" s="20"/>
      <c r="VD141" s="20"/>
      <c r="VE141" s="20"/>
      <c r="VF141" s="20"/>
      <c r="VG141" s="20"/>
      <c r="VH141" s="20"/>
      <c r="VI141" s="20"/>
      <c r="VJ141" s="20"/>
      <c r="VK141" s="20"/>
      <c r="VL141" s="20"/>
      <c r="VM141" s="20"/>
      <c r="VN141" s="20"/>
      <c r="VO141" s="20"/>
      <c r="VP141" s="20"/>
      <c r="VQ141" s="20"/>
      <c r="VR141" s="20"/>
      <c r="VS141" s="20"/>
      <c r="VT141" s="20"/>
      <c r="VU141" s="20"/>
      <c r="VV141" s="20"/>
      <c r="VW141" s="20"/>
      <c r="VX141" s="20"/>
      <c r="VY141" s="20"/>
      <c r="VZ141" s="20"/>
      <c r="WA141" s="20"/>
      <c r="WB141" s="20"/>
      <c r="WC141" s="20"/>
      <c r="WD141" s="20"/>
      <c r="WE141" s="20"/>
      <c r="WF141" s="20"/>
      <c r="WG141" s="20"/>
      <c r="WH141" s="20"/>
      <c r="WI141" s="20"/>
      <c r="WJ141" s="20"/>
      <c r="WK141" s="20"/>
      <c r="WL141" s="20"/>
      <c r="WM141" s="20"/>
      <c r="WN141" s="20"/>
      <c r="WO141" s="20"/>
      <c r="WP141" s="20"/>
      <c r="WQ141" s="20"/>
      <c r="WR141" s="20"/>
      <c r="WS141" s="20"/>
      <c r="WT141" s="20"/>
      <c r="WU141" s="20"/>
      <c r="WV141" s="20"/>
      <c r="WW141" s="20"/>
      <c r="WX141" s="20"/>
      <c r="WY141" s="20"/>
      <c r="WZ141" s="20"/>
      <c r="XA141" s="20"/>
      <c r="XB141" s="20"/>
      <c r="XC141" s="20"/>
      <c r="XD141" s="20"/>
      <c r="XE141" s="20"/>
      <c r="XF141" s="20"/>
      <c r="XG141" s="20"/>
      <c r="XH141" s="20"/>
      <c r="XI141" s="20"/>
      <c r="XJ141" s="20"/>
      <c r="XK141" s="20"/>
      <c r="XL141" s="20"/>
      <c r="XM141" s="20"/>
      <c r="XN141" s="20"/>
      <c r="XO141" s="20"/>
      <c r="XP141" s="20"/>
      <c r="XQ141" s="20"/>
      <c r="XR141" s="20"/>
      <c r="XS141" s="20"/>
      <c r="XT141" s="20"/>
      <c r="XU141" s="20"/>
      <c r="XV141" s="20"/>
      <c r="XW141" s="20"/>
      <c r="XX141" s="20"/>
      <c r="XY141" s="20"/>
      <c r="XZ141" s="20"/>
      <c r="YA141" s="20"/>
      <c r="YB141" s="20"/>
      <c r="YC141" s="20"/>
      <c r="YD141" s="20"/>
      <c r="YE141" s="20"/>
      <c r="YF141" s="20"/>
      <c r="YG141" s="20"/>
      <c r="YH141" s="20"/>
      <c r="YI141" s="20"/>
      <c r="YJ141" s="20"/>
      <c r="YK141" s="20"/>
      <c r="YL141" s="20"/>
      <c r="YM141" s="20"/>
      <c r="YN141" s="20"/>
      <c r="YO141" s="20"/>
      <c r="YP141" s="20"/>
      <c r="YQ141" s="20"/>
      <c r="YR141" s="20"/>
      <c r="YS141" s="20"/>
      <c r="YT141" s="20"/>
      <c r="YU141" s="20"/>
      <c r="YV141" s="20"/>
      <c r="YW141" s="20"/>
      <c r="YX141" s="20"/>
      <c r="YY141" s="20"/>
      <c r="YZ141" s="20"/>
      <c r="ZA141" s="20"/>
      <c r="ZB141" s="20"/>
      <c r="ZC141" s="20"/>
      <c r="ZD141" s="20"/>
      <c r="ZE141" s="20"/>
      <c r="ZF141" s="20"/>
      <c r="ZG141" s="20"/>
      <c r="ZH141" s="20"/>
      <c r="ZI141" s="20"/>
      <c r="ZJ141" s="20"/>
      <c r="ZK141" s="20"/>
      <c r="ZL141" s="20"/>
      <c r="ZM141" s="20"/>
      <c r="ZN141" s="20"/>
      <c r="ZO141" s="20"/>
      <c r="ZP141" s="20"/>
      <c r="ZQ141" s="20"/>
      <c r="ZR141" s="20"/>
      <c r="ZS141" s="20"/>
      <c r="ZT141" s="20"/>
      <c r="ZU141" s="20"/>
      <c r="ZV141" s="20"/>
      <c r="ZW141" s="20"/>
      <c r="ZX141" s="20"/>
      <c r="ZY141" s="20"/>
      <c r="ZZ141" s="20"/>
      <c r="AAA141" s="20"/>
      <c r="AAB141" s="20"/>
      <c r="AAC141" s="20"/>
      <c r="AAD141" s="20"/>
      <c r="AAE141" s="20"/>
      <c r="AAF141" s="20"/>
      <c r="AAG141" s="20"/>
      <c r="AAH141" s="20"/>
      <c r="AAI141" s="20"/>
      <c r="AAJ141" s="20"/>
      <c r="AAK141" s="20"/>
      <c r="AAL141" s="20"/>
      <c r="AAM141" s="20"/>
      <c r="AAN141" s="20"/>
      <c r="AAO141" s="20"/>
      <c r="AAP141" s="20"/>
      <c r="AAQ141" s="20"/>
      <c r="AAR141" s="20"/>
      <c r="AAS141" s="20"/>
      <c r="AAT141" s="20"/>
      <c r="AAU141" s="20"/>
      <c r="AAV141" s="20"/>
      <c r="AAW141" s="20"/>
      <c r="AAX141" s="20"/>
      <c r="AAY141" s="20"/>
      <c r="AAZ141" s="20"/>
      <c r="ABA141" s="20"/>
      <c r="ABB141" s="20"/>
      <c r="ABC141" s="20"/>
      <c r="ABD141" s="20"/>
      <c r="ABE141" s="20"/>
      <c r="ABF141" s="20"/>
      <c r="ABG141" s="20"/>
      <c r="ABH141" s="20"/>
      <c r="ABI141" s="20"/>
      <c r="ABJ141" s="20"/>
      <c r="ABK141" s="20"/>
      <c r="ABL141" s="20"/>
      <c r="ABM141" s="20"/>
      <c r="ABN141" s="20"/>
      <c r="ABO141" s="20"/>
      <c r="ABP141" s="20"/>
      <c r="ABQ141" s="20"/>
      <c r="ABR141" s="20"/>
      <c r="ABS141" s="20"/>
      <c r="ABT141" s="20"/>
      <c r="ABU141" s="20"/>
      <c r="ABV141" s="20"/>
      <c r="ABW141" s="20"/>
      <c r="ABX141" s="20"/>
      <c r="ABY141" s="20"/>
      <c r="ABZ141" s="20"/>
      <c r="ACA141" s="20"/>
      <c r="ACB141" s="20"/>
      <c r="ACC141" s="20"/>
      <c r="ACD141" s="20"/>
      <c r="ACE141" s="20"/>
      <c r="ACF141" s="20"/>
      <c r="ACG141" s="20"/>
      <c r="ACH141" s="20"/>
      <c r="ACI141" s="20"/>
      <c r="ACJ141" s="20"/>
      <c r="ACK141" s="20"/>
      <c r="ACL141" s="20"/>
      <c r="ACM141" s="20"/>
      <c r="ACN141" s="20"/>
      <c r="ACO141" s="20"/>
      <c r="ACP141" s="20"/>
      <c r="ACQ141" s="20"/>
    </row>
    <row r="142" spans="1:771" s="62" customFormat="1" ht="84.95">
      <c r="A142" s="20"/>
      <c r="B142" s="61" t="s">
        <v>630</v>
      </c>
      <c r="D142" s="61" t="s">
        <v>631</v>
      </c>
      <c r="F142" s="63" t="s">
        <v>123</v>
      </c>
      <c r="H142" s="61" t="s">
        <v>632</v>
      </c>
      <c r="J142" s="61" t="s">
        <v>605</v>
      </c>
      <c r="L142" s="61" t="s">
        <v>74</v>
      </c>
      <c r="N142" s="61" t="s">
        <v>103</v>
      </c>
      <c r="P142" s="61" t="s">
        <v>633</v>
      </c>
      <c r="R142" s="61" t="s">
        <v>77</v>
      </c>
      <c r="T142" s="108" t="s">
        <v>634</v>
      </c>
      <c r="U142" s="66"/>
      <c r="V142" s="67" t="s">
        <v>79</v>
      </c>
      <c r="W142" s="68"/>
      <c r="X142" s="67" t="s">
        <v>92</v>
      </c>
      <c r="Y142" s="68"/>
      <c r="Z142" s="67" t="s">
        <v>92</v>
      </c>
      <c r="AA142" s="68"/>
      <c r="AB142" s="67" t="s">
        <v>80</v>
      </c>
      <c r="AD142" s="63" t="s">
        <v>635</v>
      </c>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c r="IV142" s="20"/>
      <c r="IW142" s="20"/>
      <c r="IX142" s="20"/>
      <c r="IY142" s="20"/>
      <c r="IZ142" s="20"/>
      <c r="JA142" s="20"/>
      <c r="JB142" s="20"/>
      <c r="JC142" s="20"/>
      <c r="JD142" s="20"/>
      <c r="JE142" s="20"/>
      <c r="JF142" s="20"/>
      <c r="JG142" s="20"/>
      <c r="JH142" s="20"/>
      <c r="JI142" s="20"/>
      <c r="JJ142" s="20"/>
      <c r="JK142" s="20"/>
      <c r="JL142" s="20"/>
      <c r="JM142" s="20"/>
      <c r="JN142" s="20"/>
      <c r="JO142" s="20"/>
      <c r="JP142" s="20"/>
      <c r="JQ142" s="20"/>
      <c r="JR142" s="20"/>
      <c r="JS142" s="20"/>
      <c r="JT142" s="20"/>
      <c r="JU142" s="20"/>
      <c r="JV142" s="20"/>
      <c r="JW142" s="20"/>
      <c r="JX142" s="20"/>
      <c r="JY142" s="20"/>
      <c r="JZ142" s="20"/>
      <c r="KA142" s="20"/>
      <c r="KB142" s="20"/>
      <c r="KC142" s="20"/>
      <c r="KD142" s="20"/>
      <c r="KE142" s="20"/>
      <c r="KF142" s="20"/>
      <c r="KG142" s="20"/>
      <c r="KH142" s="20"/>
      <c r="KI142" s="20"/>
      <c r="KJ142" s="20"/>
      <c r="KK142" s="20"/>
      <c r="KL142" s="20"/>
      <c r="KM142" s="20"/>
      <c r="KN142" s="20"/>
      <c r="KO142" s="20"/>
      <c r="KP142" s="20"/>
      <c r="KQ142" s="20"/>
      <c r="KR142" s="20"/>
      <c r="KS142" s="20"/>
      <c r="KT142" s="20"/>
      <c r="KU142" s="20"/>
      <c r="KV142" s="20"/>
      <c r="KW142" s="20"/>
      <c r="KX142" s="20"/>
      <c r="KY142" s="20"/>
      <c r="KZ142" s="20"/>
      <c r="LA142" s="20"/>
      <c r="LB142" s="20"/>
      <c r="LC142" s="20"/>
      <c r="LD142" s="20"/>
      <c r="LE142" s="20"/>
      <c r="LF142" s="20"/>
      <c r="LG142" s="20"/>
      <c r="LH142" s="20"/>
      <c r="LI142" s="20"/>
      <c r="LJ142" s="20"/>
      <c r="LK142" s="20"/>
      <c r="LL142" s="20"/>
      <c r="LM142" s="20"/>
      <c r="LN142" s="20"/>
      <c r="LO142" s="20"/>
      <c r="LP142" s="20"/>
      <c r="LQ142" s="20"/>
      <c r="LR142" s="20"/>
      <c r="LS142" s="20"/>
      <c r="LT142" s="20"/>
      <c r="LU142" s="20"/>
      <c r="LV142" s="20"/>
      <c r="LW142" s="20"/>
      <c r="LX142" s="20"/>
      <c r="LY142" s="20"/>
      <c r="LZ142" s="20"/>
      <c r="MA142" s="20"/>
      <c r="MB142" s="20"/>
      <c r="MC142" s="20"/>
      <c r="MD142" s="20"/>
      <c r="ME142" s="20"/>
      <c r="MF142" s="20"/>
      <c r="MG142" s="20"/>
      <c r="MH142" s="20"/>
      <c r="MI142" s="20"/>
      <c r="MJ142" s="20"/>
      <c r="MK142" s="20"/>
      <c r="ML142" s="20"/>
      <c r="MM142" s="20"/>
      <c r="MN142" s="20"/>
      <c r="MO142" s="20"/>
      <c r="MP142" s="20"/>
      <c r="MQ142" s="20"/>
      <c r="MR142" s="20"/>
      <c r="MS142" s="20"/>
      <c r="MT142" s="20"/>
      <c r="MU142" s="20"/>
      <c r="MV142" s="20"/>
      <c r="MW142" s="20"/>
      <c r="MX142" s="20"/>
      <c r="MY142" s="20"/>
      <c r="MZ142" s="20"/>
      <c r="NA142" s="20"/>
      <c r="NB142" s="20"/>
      <c r="NC142" s="20"/>
      <c r="ND142" s="20"/>
      <c r="NE142" s="20"/>
      <c r="NF142" s="20"/>
      <c r="NG142" s="20"/>
      <c r="NH142" s="20"/>
      <c r="NI142" s="20"/>
      <c r="NJ142" s="20"/>
      <c r="NK142" s="20"/>
      <c r="NL142" s="20"/>
      <c r="NM142" s="20"/>
      <c r="NN142" s="20"/>
      <c r="NO142" s="20"/>
      <c r="NP142" s="20"/>
      <c r="NQ142" s="20"/>
      <c r="NR142" s="20"/>
      <c r="NS142" s="20"/>
      <c r="NT142" s="20"/>
      <c r="NU142" s="20"/>
      <c r="NV142" s="20"/>
      <c r="NW142" s="20"/>
      <c r="NX142" s="20"/>
      <c r="NY142" s="20"/>
      <c r="NZ142" s="20"/>
      <c r="OA142" s="20"/>
      <c r="OB142" s="20"/>
      <c r="OC142" s="20"/>
      <c r="OD142" s="20"/>
      <c r="OE142" s="20"/>
      <c r="OF142" s="20"/>
      <c r="OG142" s="20"/>
      <c r="OH142" s="20"/>
      <c r="OI142" s="20"/>
      <c r="OJ142" s="20"/>
      <c r="OK142" s="20"/>
      <c r="OL142" s="20"/>
      <c r="OM142" s="20"/>
      <c r="ON142" s="20"/>
      <c r="OO142" s="20"/>
      <c r="OP142" s="20"/>
      <c r="OQ142" s="20"/>
      <c r="OR142" s="20"/>
      <c r="OS142" s="20"/>
      <c r="OT142" s="20"/>
      <c r="OU142" s="20"/>
      <c r="OV142" s="20"/>
      <c r="OW142" s="20"/>
      <c r="OX142" s="20"/>
      <c r="OY142" s="20"/>
      <c r="OZ142" s="20"/>
      <c r="PA142" s="20"/>
      <c r="PB142" s="20"/>
      <c r="PC142" s="20"/>
      <c r="PD142" s="20"/>
      <c r="PE142" s="20"/>
      <c r="PF142" s="20"/>
      <c r="PG142" s="20"/>
      <c r="PH142" s="20"/>
      <c r="PI142" s="20"/>
      <c r="PJ142" s="20"/>
      <c r="PK142" s="20"/>
      <c r="PL142" s="20"/>
      <c r="PM142" s="20"/>
      <c r="PN142" s="20"/>
      <c r="PO142" s="20"/>
      <c r="PP142" s="20"/>
      <c r="PQ142" s="20"/>
      <c r="PR142" s="20"/>
      <c r="PS142" s="20"/>
      <c r="PT142" s="20"/>
      <c r="PU142" s="20"/>
      <c r="PV142" s="20"/>
      <c r="PW142" s="20"/>
      <c r="PX142" s="20"/>
      <c r="PY142" s="20"/>
      <c r="PZ142" s="20"/>
      <c r="QA142" s="20"/>
      <c r="QB142" s="20"/>
      <c r="QC142" s="20"/>
      <c r="QD142" s="20"/>
      <c r="QE142" s="20"/>
      <c r="QF142" s="20"/>
      <c r="QG142" s="20"/>
      <c r="QH142" s="20"/>
      <c r="QI142" s="20"/>
      <c r="QJ142" s="20"/>
      <c r="QK142" s="20"/>
      <c r="QL142" s="20"/>
      <c r="QM142" s="20"/>
      <c r="QN142" s="20"/>
      <c r="QO142" s="20"/>
      <c r="QP142" s="20"/>
      <c r="QQ142" s="20"/>
      <c r="QR142" s="20"/>
      <c r="QS142" s="20"/>
      <c r="QT142" s="20"/>
      <c r="QU142" s="20"/>
      <c r="QV142" s="20"/>
      <c r="QW142" s="20"/>
      <c r="QX142" s="20"/>
      <c r="QY142" s="20"/>
      <c r="QZ142" s="20"/>
      <c r="RA142" s="20"/>
      <c r="RB142" s="20"/>
      <c r="RC142" s="20"/>
      <c r="RD142" s="20"/>
      <c r="RE142" s="20"/>
      <c r="RF142" s="20"/>
      <c r="RG142" s="20"/>
      <c r="RH142" s="20"/>
      <c r="RI142" s="20"/>
      <c r="RJ142" s="20"/>
      <c r="RK142" s="20"/>
      <c r="RL142" s="20"/>
      <c r="RM142" s="20"/>
      <c r="RN142" s="20"/>
      <c r="RO142" s="20"/>
      <c r="RP142" s="20"/>
      <c r="RQ142" s="20"/>
      <c r="RR142" s="20"/>
      <c r="RS142" s="20"/>
      <c r="RT142" s="20"/>
      <c r="RU142" s="20"/>
      <c r="RV142" s="20"/>
      <c r="RW142" s="20"/>
      <c r="RX142" s="20"/>
      <c r="RY142" s="20"/>
      <c r="RZ142" s="20"/>
      <c r="SA142" s="20"/>
      <c r="SB142" s="20"/>
      <c r="SC142" s="20"/>
      <c r="SD142" s="20"/>
      <c r="SE142" s="20"/>
      <c r="SF142" s="20"/>
      <c r="SG142" s="20"/>
      <c r="SH142" s="20"/>
      <c r="SI142" s="20"/>
      <c r="SJ142" s="20"/>
      <c r="SK142" s="20"/>
      <c r="SL142" s="20"/>
      <c r="SM142" s="20"/>
      <c r="SN142" s="20"/>
      <c r="SO142" s="20"/>
      <c r="SP142" s="20"/>
      <c r="SQ142" s="20"/>
      <c r="SR142" s="20"/>
      <c r="SS142" s="20"/>
      <c r="ST142" s="20"/>
      <c r="SU142" s="20"/>
      <c r="SV142" s="20"/>
      <c r="SW142" s="20"/>
      <c r="SX142" s="20"/>
      <c r="SY142" s="20"/>
      <c r="SZ142" s="20"/>
      <c r="TA142" s="20"/>
      <c r="TB142" s="20"/>
      <c r="TC142" s="20"/>
      <c r="TD142" s="20"/>
      <c r="TE142" s="20"/>
      <c r="TF142" s="20"/>
      <c r="TG142" s="20"/>
      <c r="TH142" s="20"/>
      <c r="TI142" s="20"/>
      <c r="TJ142" s="20"/>
      <c r="TK142" s="20"/>
      <c r="TL142" s="20"/>
      <c r="TM142" s="20"/>
      <c r="TN142" s="20"/>
      <c r="TO142" s="20"/>
      <c r="TP142" s="20"/>
      <c r="TQ142" s="20"/>
      <c r="TR142" s="20"/>
      <c r="TS142" s="20"/>
      <c r="TT142" s="20"/>
      <c r="TU142" s="20"/>
      <c r="TV142" s="20"/>
      <c r="TW142" s="20"/>
      <c r="TX142" s="20"/>
      <c r="TY142" s="20"/>
      <c r="TZ142" s="20"/>
      <c r="UA142" s="20"/>
      <c r="UB142" s="20"/>
      <c r="UC142" s="20"/>
      <c r="UD142" s="20"/>
      <c r="UE142" s="20"/>
      <c r="UF142" s="20"/>
      <c r="UG142" s="20"/>
      <c r="UH142" s="20"/>
      <c r="UI142" s="20"/>
      <c r="UJ142" s="20"/>
      <c r="UK142" s="20"/>
      <c r="UL142" s="20"/>
      <c r="UM142" s="20"/>
      <c r="UN142" s="20"/>
      <c r="UO142" s="20"/>
      <c r="UP142" s="20"/>
      <c r="UQ142" s="20"/>
      <c r="UR142" s="20"/>
      <c r="US142" s="20"/>
      <c r="UT142" s="20"/>
      <c r="UU142" s="20"/>
      <c r="UV142" s="20"/>
      <c r="UW142" s="20"/>
      <c r="UX142" s="20"/>
      <c r="UY142" s="20"/>
      <c r="UZ142" s="20"/>
      <c r="VA142" s="20"/>
      <c r="VB142" s="20"/>
      <c r="VC142" s="20"/>
      <c r="VD142" s="20"/>
      <c r="VE142" s="20"/>
      <c r="VF142" s="20"/>
      <c r="VG142" s="20"/>
      <c r="VH142" s="20"/>
      <c r="VI142" s="20"/>
      <c r="VJ142" s="20"/>
      <c r="VK142" s="20"/>
      <c r="VL142" s="20"/>
      <c r="VM142" s="20"/>
      <c r="VN142" s="20"/>
      <c r="VO142" s="20"/>
      <c r="VP142" s="20"/>
      <c r="VQ142" s="20"/>
      <c r="VR142" s="20"/>
      <c r="VS142" s="20"/>
      <c r="VT142" s="20"/>
      <c r="VU142" s="20"/>
      <c r="VV142" s="20"/>
      <c r="VW142" s="20"/>
      <c r="VX142" s="20"/>
      <c r="VY142" s="20"/>
      <c r="VZ142" s="20"/>
      <c r="WA142" s="20"/>
      <c r="WB142" s="20"/>
      <c r="WC142" s="20"/>
      <c r="WD142" s="20"/>
      <c r="WE142" s="20"/>
      <c r="WF142" s="20"/>
      <c r="WG142" s="20"/>
      <c r="WH142" s="20"/>
      <c r="WI142" s="20"/>
      <c r="WJ142" s="20"/>
      <c r="WK142" s="20"/>
      <c r="WL142" s="20"/>
      <c r="WM142" s="20"/>
      <c r="WN142" s="20"/>
      <c r="WO142" s="20"/>
      <c r="WP142" s="20"/>
      <c r="WQ142" s="20"/>
      <c r="WR142" s="20"/>
      <c r="WS142" s="20"/>
      <c r="WT142" s="20"/>
      <c r="WU142" s="20"/>
      <c r="WV142" s="20"/>
      <c r="WW142" s="20"/>
      <c r="WX142" s="20"/>
      <c r="WY142" s="20"/>
      <c r="WZ142" s="20"/>
      <c r="XA142" s="20"/>
      <c r="XB142" s="20"/>
      <c r="XC142" s="20"/>
      <c r="XD142" s="20"/>
      <c r="XE142" s="20"/>
      <c r="XF142" s="20"/>
      <c r="XG142" s="20"/>
      <c r="XH142" s="20"/>
      <c r="XI142" s="20"/>
      <c r="XJ142" s="20"/>
      <c r="XK142" s="20"/>
      <c r="XL142" s="20"/>
      <c r="XM142" s="20"/>
      <c r="XN142" s="20"/>
      <c r="XO142" s="20"/>
      <c r="XP142" s="20"/>
      <c r="XQ142" s="20"/>
      <c r="XR142" s="20"/>
      <c r="XS142" s="20"/>
      <c r="XT142" s="20"/>
      <c r="XU142" s="20"/>
      <c r="XV142" s="20"/>
      <c r="XW142" s="20"/>
      <c r="XX142" s="20"/>
      <c r="XY142" s="20"/>
      <c r="XZ142" s="20"/>
      <c r="YA142" s="20"/>
      <c r="YB142" s="20"/>
      <c r="YC142" s="20"/>
      <c r="YD142" s="20"/>
      <c r="YE142" s="20"/>
      <c r="YF142" s="20"/>
      <c r="YG142" s="20"/>
      <c r="YH142" s="20"/>
      <c r="YI142" s="20"/>
      <c r="YJ142" s="20"/>
      <c r="YK142" s="20"/>
      <c r="YL142" s="20"/>
      <c r="YM142" s="20"/>
      <c r="YN142" s="20"/>
      <c r="YO142" s="20"/>
      <c r="YP142" s="20"/>
      <c r="YQ142" s="20"/>
      <c r="YR142" s="20"/>
      <c r="YS142" s="20"/>
      <c r="YT142" s="20"/>
      <c r="YU142" s="20"/>
      <c r="YV142" s="20"/>
      <c r="YW142" s="20"/>
      <c r="YX142" s="20"/>
      <c r="YY142" s="20"/>
      <c r="YZ142" s="20"/>
      <c r="ZA142" s="20"/>
      <c r="ZB142" s="20"/>
      <c r="ZC142" s="20"/>
      <c r="ZD142" s="20"/>
      <c r="ZE142" s="20"/>
      <c r="ZF142" s="20"/>
      <c r="ZG142" s="20"/>
      <c r="ZH142" s="20"/>
      <c r="ZI142" s="20"/>
      <c r="ZJ142" s="20"/>
      <c r="ZK142" s="20"/>
      <c r="ZL142" s="20"/>
      <c r="ZM142" s="20"/>
      <c r="ZN142" s="20"/>
      <c r="ZO142" s="20"/>
      <c r="ZP142" s="20"/>
      <c r="ZQ142" s="20"/>
      <c r="ZR142" s="20"/>
      <c r="ZS142" s="20"/>
      <c r="ZT142" s="20"/>
      <c r="ZU142" s="20"/>
      <c r="ZV142" s="20"/>
      <c r="ZW142" s="20"/>
      <c r="ZX142" s="20"/>
      <c r="ZY142" s="20"/>
      <c r="ZZ142" s="20"/>
      <c r="AAA142" s="20"/>
      <c r="AAB142" s="20"/>
      <c r="AAC142" s="20"/>
      <c r="AAD142" s="20"/>
      <c r="AAE142" s="20"/>
      <c r="AAF142" s="20"/>
      <c r="AAG142" s="20"/>
      <c r="AAH142" s="20"/>
      <c r="AAI142" s="20"/>
      <c r="AAJ142" s="20"/>
      <c r="AAK142" s="20"/>
      <c r="AAL142" s="20"/>
      <c r="AAM142" s="20"/>
      <c r="AAN142" s="20"/>
      <c r="AAO142" s="20"/>
      <c r="AAP142" s="20"/>
      <c r="AAQ142" s="20"/>
      <c r="AAR142" s="20"/>
      <c r="AAS142" s="20"/>
      <c r="AAT142" s="20"/>
      <c r="AAU142" s="20"/>
      <c r="AAV142" s="20"/>
      <c r="AAW142" s="20"/>
      <c r="AAX142" s="20"/>
      <c r="AAY142" s="20"/>
      <c r="AAZ142" s="20"/>
      <c r="ABA142" s="20"/>
      <c r="ABB142" s="20"/>
      <c r="ABC142" s="20"/>
      <c r="ABD142" s="20"/>
      <c r="ABE142" s="20"/>
      <c r="ABF142" s="20"/>
      <c r="ABG142" s="20"/>
      <c r="ABH142" s="20"/>
      <c r="ABI142" s="20"/>
      <c r="ABJ142" s="20"/>
      <c r="ABK142" s="20"/>
      <c r="ABL142" s="20"/>
      <c r="ABM142" s="20"/>
      <c r="ABN142" s="20"/>
      <c r="ABO142" s="20"/>
      <c r="ABP142" s="20"/>
      <c r="ABQ142" s="20"/>
      <c r="ABR142" s="20"/>
      <c r="ABS142" s="20"/>
      <c r="ABT142" s="20"/>
      <c r="ABU142" s="20"/>
      <c r="ABV142" s="20"/>
      <c r="ABW142" s="20"/>
      <c r="ABX142" s="20"/>
      <c r="ABY142" s="20"/>
      <c r="ABZ142" s="20"/>
      <c r="ACA142" s="20"/>
      <c r="ACB142" s="20"/>
      <c r="ACC142" s="20"/>
      <c r="ACD142" s="20"/>
      <c r="ACE142" s="20"/>
      <c r="ACF142" s="20"/>
      <c r="ACG142" s="20"/>
      <c r="ACH142" s="20"/>
      <c r="ACI142" s="20"/>
      <c r="ACJ142" s="20"/>
      <c r="ACK142" s="20"/>
      <c r="ACL142" s="20"/>
      <c r="ACM142" s="20"/>
      <c r="ACN142" s="20"/>
      <c r="ACO142" s="20"/>
      <c r="ACP142" s="20"/>
      <c r="ACQ142" s="20"/>
    </row>
    <row r="143" spans="1:771" s="115" customFormat="1" ht="119.1">
      <c r="A143" s="83"/>
      <c r="B143" s="109" t="s">
        <v>636</v>
      </c>
      <c r="C143" s="110"/>
      <c r="D143" s="109" t="s">
        <v>71</v>
      </c>
      <c r="E143" s="110"/>
      <c r="F143" s="109" t="s">
        <v>282</v>
      </c>
      <c r="G143" s="110"/>
      <c r="H143" s="109" t="s">
        <v>116</v>
      </c>
      <c r="I143" s="110"/>
      <c r="J143" s="109" t="s">
        <v>637</v>
      </c>
      <c r="K143" s="110"/>
      <c r="L143" s="61" t="s">
        <v>74</v>
      </c>
      <c r="M143" s="110"/>
      <c r="N143" s="109" t="s">
        <v>103</v>
      </c>
      <c r="O143" s="110"/>
      <c r="P143" s="122" t="s">
        <v>273</v>
      </c>
      <c r="Q143" s="110"/>
      <c r="R143" s="109" t="s">
        <v>77</v>
      </c>
      <c r="S143" s="110"/>
      <c r="T143" s="112" t="s">
        <v>280</v>
      </c>
      <c r="U143" s="113"/>
      <c r="V143" s="67" t="s">
        <v>79</v>
      </c>
      <c r="W143" s="68"/>
      <c r="X143" s="67" t="s">
        <v>80</v>
      </c>
      <c r="Y143" s="68"/>
      <c r="Z143" s="67" t="s">
        <v>79</v>
      </c>
      <c r="AA143" s="68"/>
      <c r="AB143" s="114" t="s">
        <v>276</v>
      </c>
      <c r="AD143" s="109" t="s">
        <v>638</v>
      </c>
      <c r="AE143" s="83"/>
      <c r="AF143" s="83"/>
      <c r="AG143" s="83"/>
      <c r="AH143" s="83"/>
      <c r="AI143" s="83"/>
      <c r="AJ143" s="83"/>
      <c r="AK143" s="83"/>
      <c r="AL143" s="83"/>
      <c r="AM143" s="83"/>
      <c r="AN143" s="83"/>
      <c r="AO143" s="83"/>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119"/>
      <c r="FC143" s="119"/>
      <c r="FD143" s="119"/>
      <c r="FE143" s="119"/>
      <c r="FF143" s="119"/>
      <c r="FG143" s="119"/>
      <c r="FH143" s="119"/>
      <c r="FI143" s="119"/>
      <c r="FJ143" s="119"/>
      <c r="FK143" s="119"/>
      <c r="FL143" s="119"/>
      <c r="FM143" s="119"/>
      <c r="FN143" s="119"/>
      <c r="FO143" s="119"/>
      <c r="FP143" s="119"/>
      <c r="FQ143" s="119"/>
      <c r="FR143" s="119"/>
      <c r="FS143" s="119"/>
      <c r="FT143" s="119"/>
      <c r="FU143" s="119"/>
      <c r="FV143" s="119"/>
      <c r="FW143" s="119"/>
      <c r="FX143" s="119"/>
      <c r="FY143" s="119"/>
      <c r="FZ143" s="119"/>
      <c r="GA143" s="119"/>
      <c r="GB143" s="119"/>
      <c r="GC143" s="119"/>
      <c r="GD143" s="119"/>
      <c r="GE143" s="119"/>
      <c r="GF143" s="119"/>
      <c r="GG143" s="119"/>
      <c r="GH143" s="119"/>
      <c r="GI143" s="119"/>
      <c r="GJ143" s="119"/>
      <c r="GK143" s="119"/>
      <c r="GL143" s="119"/>
      <c r="GM143" s="119"/>
      <c r="GN143" s="119"/>
      <c r="GO143" s="119"/>
      <c r="GP143" s="119"/>
      <c r="GQ143" s="119"/>
      <c r="GR143" s="119"/>
      <c r="GS143" s="119"/>
      <c r="GT143" s="119"/>
      <c r="GU143" s="119"/>
      <c r="GV143" s="119"/>
      <c r="GW143" s="119"/>
      <c r="GX143" s="119"/>
      <c r="GY143" s="119"/>
      <c r="GZ143" s="119"/>
      <c r="HA143" s="119"/>
      <c r="HB143" s="119"/>
      <c r="HC143" s="119"/>
      <c r="HD143" s="119"/>
      <c r="HE143" s="119"/>
      <c r="HF143" s="119"/>
      <c r="HG143" s="119"/>
      <c r="HH143" s="119"/>
      <c r="HI143" s="119"/>
      <c r="HJ143" s="119"/>
      <c r="HK143" s="119"/>
      <c r="HL143" s="119"/>
      <c r="HM143" s="119"/>
      <c r="HN143" s="119"/>
      <c r="HO143" s="119"/>
      <c r="HP143" s="119"/>
      <c r="HQ143" s="119"/>
      <c r="HR143" s="119"/>
      <c r="HS143" s="119"/>
      <c r="HT143" s="119"/>
      <c r="HU143" s="119"/>
      <c r="HV143" s="119"/>
      <c r="HW143" s="119"/>
      <c r="HX143" s="119"/>
      <c r="HY143" s="119"/>
      <c r="HZ143" s="119"/>
      <c r="IA143" s="119"/>
      <c r="IB143" s="119"/>
      <c r="IC143" s="119"/>
      <c r="ID143" s="119"/>
      <c r="IE143" s="119"/>
      <c r="IF143" s="119"/>
      <c r="IG143" s="119"/>
      <c r="IH143" s="119"/>
      <c r="II143" s="119"/>
      <c r="IJ143" s="119"/>
      <c r="IK143" s="119"/>
      <c r="IL143" s="119"/>
      <c r="IM143" s="119"/>
      <c r="IN143" s="119"/>
      <c r="IO143" s="119"/>
      <c r="IP143" s="119"/>
      <c r="IQ143" s="119"/>
      <c r="IR143" s="119"/>
      <c r="IS143" s="119"/>
      <c r="IT143" s="119"/>
      <c r="IU143" s="119"/>
      <c r="IV143" s="119"/>
      <c r="IW143" s="119"/>
      <c r="IX143" s="119"/>
      <c r="IY143" s="119"/>
      <c r="IZ143" s="119"/>
      <c r="JA143" s="119"/>
      <c r="JB143" s="119"/>
      <c r="JC143" s="119"/>
      <c r="JD143" s="119"/>
      <c r="JE143" s="119"/>
      <c r="JF143" s="119"/>
      <c r="JG143" s="119"/>
      <c r="JH143" s="119"/>
      <c r="JI143" s="119"/>
      <c r="JJ143" s="119"/>
      <c r="JK143" s="119"/>
      <c r="JL143" s="119"/>
      <c r="JM143" s="119"/>
      <c r="JN143" s="119"/>
      <c r="JO143" s="119"/>
      <c r="JP143" s="119"/>
      <c r="JQ143" s="119"/>
      <c r="JR143" s="119"/>
      <c r="JS143" s="119"/>
      <c r="JT143" s="119"/>
      <c r="JU143" s="119"/>
      <c r="JV143" s="119"/>
      <c r="JW143" s="119"/>
      <c r="JX143" s="119"/>
      <c r="JY143" s="119"/>
      <c r="JZ143" s="119"/>
      <c r="KA143" s="119"/>
      <c r="KB143" s="119"/>
      <c r="KC143" s="119"/>
      <c r="KD143" s="119"/>
      <c r="KE143" s="119"/>
      <c r="KF143" s="119"/>
      <c r="KG143" s="119"/>
      <c r="KH143" s="119"/>
      <c r="KI143" s="119"/>
      <c r="KJ143" s="119"/>
      <c r="KK143" s="119"/>
      <c r="KL143" s="119"/>
      <c r="KM143" s="119"/>
      <c r="KN143" s="119"/>
      <c r="KO143" s="119"/>
      <c r="KP143" s="119"/>
      <c r="KQ143" s="119"/>
      <c r="KR143" s="119"/>
      <c r="KS143" s="119"/>
      <c r="KT143" s="119"/>
      <c r="KU143" s="119"/>
      <c r="KV143" s="119"/>
      <c r="KW143" s="119"/>
      <c r="KX143" s="119"/>
      <c r="KY143" s="119"/>
      <c r="KZ143" s="119"/>
      <c r="LA143" s="119"/>
      <c r="LB143" s="119"/>
      <c r="LC143" s="119"/>
      <c r="LD143" s="119"/>
      <c r="LE143" s="119"/>
      <c r="LF143" s="119"/>
      <c r="LG143" s="119"/>
      <c r="LH143" s="119"/>
      <c r="LI143" s="119"/>
      <c r="LJ143" s="119"/>
      <c r="LK143" s="119"/>
      <c r="LL143" s="119"/>
      <c r="LM143" s="119"/>
      <c r="LN143" s="119"/>
      <c r="LO143" s="119"/>
      <c r="LP143" s="119"/>
      <c r="LQ143" s="119"/>
      <c r="LR143" s="119"/>
      <c r="LS143" s="119"/>
      <c r="LT143" s="119"/>
      <c r="LU143" s="119"/>
      <c r="LV143" s="119"/>
      <c r="LW143" s="119"/>
      <c r="LX143" s="119"/>
      <c r="LY143" s="119"/>
      <c r="LZ143" s="119"/>
      <c r="MA143" s="119"/>
      <c r="MB143" s="119"/>
      <c r="MC143" s="119"/>
      <c r="MD143" s="119"/>
      <c r="ME143" s="119"/>
      <c r="MF143" s="119"/>
      <c r="MG143" s="119"/>
      <c r="MH143" s="119"/>
      <c r="MI143" s="119"/>
      <c r="MJ143" s="119"/>
      <c r="MK143" s="119"/>
      <c r="ML143" s="119"/>
      <c r="MM143" s="119"/>
      <c r="MN143" s="119"/>
      <c r="MO143" s="119"/>
      <c r="MP143" s="119"/>
      <c r="MQ143" s="119"/>
      <c r="MR143" s="119"/>
      <c r="MS143" s="119"/>
      <c r="MT143" s="119"/>
      <c r="MU143" s="119"/>
      <c r="MV143" s="119"/>
      <c r="MW143" s="119"/>
      <c r="MX143" s="119"/>
      <c r="MY143" s="119"/>
      <c r="MZ143" s="119"/>
      <c r="NA143" s="119"/>
      <c r="NB143" s="119"/>
      <c r="NC143" s="119"/>
      <c r="ND143" s="119"/>
      <c r="NE143" s="119"/>
      <c r="NF143" s="119"/>
      <c r="NG143" s="119"/>
      <c r="NH143" s="119"/>
      <c r="NI143" s="119"/>
      <c r="NJ143" s="119"/>
      <c r="NK143" s="119"/>
      <c r="NL143" s="119"/>
      <c r="NM143" s="119"/>
      <c r="NN143" s="119"/>
      <c r="NO143" s="119"/>
      <c r="NP143" s="119"/>
      <c r="NQ143" s="119"/>
      <c r="NR143" s="119"/>
      <c r="NS143" s="119"/>
      <c r="NT143" s="119"/>
      <c r="NU143" s="119"/>
      <c r="NV143" s="119"/>
      <c r="NW143" s="119"/>
      <c r="NX143" s="119"/>
      <c r="NY143" s="119"/>
      <c r="NZ143" s="119"/>
      <c r="OA143" s="119"/>
      <c r="OB143" s="119"/>
      <c r="OC143" s="119"/>
      <c r="OD143" s="119"/>
      <c r="OE143" s="119"/>
      <c r="OF143" s="119"/>
      <c r="OG143" s="119"/>
      <c r="OH143" s="119"/>
      <c r="OI143" s="119"/>
      <c r="OJ143" s="119"/>
      <c r="OK143" s="119"/>
      <c r="OL143" s="119"/>
      <c r="OM143" s="119"/>
      <c r="ON143" s="119"/>
      <c r="OO143" s="119"/>
      <c r="OP143" s="119"/>
      <c r="OQ143" s="119"/>
      <c r="OR143" s="119"/>
      <c r="OS143" s="119"/>
      <c r="OT143" s="119"/>
      <c r="OU143" s="119"/>
      <c r="OV143" s="119"/>
      <c r="OW143" s="119"/>
      <c r="OX143" s="119"/>
      <c r="OY143" s="119"/>
      <c r="OZ143" s="119"/>
      <c r="PA143" s="119"/>
      <c r="PB143" s="119"/>
      <c r="PC143" s="119"/>
      <c r="PD143" s="119"/>
      <c r="PE143" s="119"/>
      <c r="PF143" s="119"/>
      <c r="PG143" s="119"/>
      <c r="PH143" s="119"/>
      <c r="PI143" s="119"/>
      <c r="PJ143" s="119"/>
      <c r="PK143" s="119"/>
      <c r="PL143" s="119"/>
      <c r="PM143" s="119"/>
      <c r="PN143" s="119"/>
      <c r="PO143" s="119"/>
      <c r="PP143" s="119"/>
      <c r="PQ143" s="119"/>
      <c r="PR143" s="119"/>
      <c r="PS143" s="119"/>
      <c r="PT143" s="119"/>
      <c r="PU143" s="119"/>
      <c r="PV143" s="119"/>
      <c r="PW143" s="119"/>
      <c r="PX143" s="119"/>
      <c r="PY143" s="119"/>
      <c r="PZ143" s="119"/>
      <c r="QA143" s="119"/>
      <c r="QB143" s="119"/>
      <c r="QC143" s="119"/>
      <c r="QD143" s="119"/>
      <c r="QE143" s="119"/>
      <c r="QF143" s="119"/>
      <c r="QG143" s="119"/>
      <c r="QH143" s="119"/>
      <c r="QI143" s="119"/>
      <c r="QJ143" s="119"/>
      <c r="QK143" s="119"/>
      <c r="QL143" s="119"/>
      <c r="QM143" s="119"/>
      <c r="QN143" s="119"/>
      <c r="QO143" s="119"/>
      <c r="QP143" s="119"/>
      <c r="QQ143" s="119"/>
      <c r="QR143" s="119"/>
      <c r="QS143" s="119"/>
      <c r="QT143" s="119"/>
      <c r="QU143" s="119"/>
      <c r="QV143" s="119"/>
      <c r="QW143" s="119"/>
      <c r="QX143" s="119"/>
      <c r="QY143" s="119"/>
      <c r="QZ143" s="119"/>
      <c r="RA143" s="119"/>
      <c r="RB143" s="119"/>
      <c r="RC143" s="119"/>
      <c r="RD143" s="119"/>
      <c r="RE143" s="119"/>
      <c r="RF143" s="119"/>
      <c r="RG143" s="119"/>
      <c r="RH143" s="119"/>
      <c r="RI143" s="119"/>
      <c r="RJ143" s="119"/>
      <c r="RK143" s="119"/>
      <c r="RL143" s="119"/>
      <c r="RM143" s="119"/>
      <c r="RN143" s="119"/>
      <c r="RO143" s="119"/>
      <c r="RP143" s="119"/>
      <c r="RQ143" s="119"/>
      <c r="RR143" s="119"/>
      <c r="RS143" s="119"/>
      <c r="RT143" s="119"/>
      <c r="RU143" s="119"/>
      <c r="RV143" s="119"/>
      <c r="RW143" s="119"/>
      <c r="RX143" s="119"/>
      <c r="RY143" s="119"/>
      <c r="RZ143" s="119"/>
      <c r="SA143" s="119"/>
      <c r="SB143" s="119"/>
      <c r="SC143" s="119"/>
      <c r="SD143" s="119"/>
      <c r="SE143" s="119"/>
      <c r="SF143" s="119"/>
      <c r="SG143" s="119"/>
      <c r="SH143" s="119"/>
      <c r="SI143" s="119"/>
      <c r="SJ143" s="119"/>
      <c r="SK143" s="119"/>
      <c r="SL143" s="119"/>
      <c r="SM143" s="119"/>
      <c r="SN143" s="119"/>
      <c r="SO143" s="119"/>
      <c r="SP143" s="119"/>
      <c r="SQ143" s="119"/>
      <c r="SR143" s="119"/>
      <c r="SS143" s="119"/>
      <c r="ST143" s="119"/>
      <c r="SU143" s="119"/>
      <c r="SV143" s="119"/>
      <c r="SW143" s="119"/>
      <c r="SX143" s="119"/>
      <c r="SY143" s="119"/>
      <c r="SZ143" s="119"/>
      <c r="TA143" s="119"/>
      <c r="TB143" s="119"/>
      <c r="TC143" s="119"/>
      <c r="TD143" s="119"/>
      <c r="TE143" s="119"/>
      <c r="TF143" s="119"/>
      <c r="TG143" s="119"/>
      <c r="TH143" s="119"/>
      <c r="TI143" s="119"/>
      <c r="TJ143" s="119"/>
      <c r="TK143" s="119"/>
      <c r="TL143" s="119"/>
      <c r="TM143" s="119"/>
      <c r="TN143" s="119"/>
      <c r="TO143" s="119"/>
      <c r="TP143" s="119"/>
      <c r="TQ143" s="119"/>
      <c r="TR143" s="119"/>
      <c r="TS143" s="119"/>
      <c r="TT143" s="119"/>
      <c r="TU143" s="119"/>
      <c r="TV143" s="119"/>
      <c r="TW143" s="119"/>
      <c r="TX143" s="119"/>
      <c r="TY143" s="119"/>
      <c r="TZ143" s="119"/>
      <c r="UA143" s="119"/>
      <c r="UB143" s="119"/>
      <c r="UC143" s="119"/>
      <c r="UD143" s="119"/>
      <c r="UE143" s="119"/>
      <c r="UF143" s="119"/>
      <c r="UG143" s="119"/>
      <c r="UH143" s="119"/>
      <c r="UI143" s="119"/>
      <c r="UJ143" s="119"/>
      <c r="UK143" s="119"/>
      <c r="UL143" s="119"/>
      <c r="UM143" s="119"/>
      <c r="UN143" s="119"/>
      <c r="UO143" s="119"/>
      <c r="UP143" s="119"/>
      <c r="UQ143" s="119"/>
      <c r="UR143" s="119"/>
      <c r="US143" s="119"/>
      <c r="UT143" s="119"/>
      <c r="UU143" s="119"/>
      <c r="UV143" s="119"/>
      <c r="UW143" s="119"/>
      <c r="UX143" s="119"/>
      <c r="UY143" s="119"/>
      <c r="UZ143" s="119"/>
      <c r="VA143" s="119"/>
      <c r="VB143" s="119"/>
      <c r="VC143" s="119"/>
      <c r="VD143" s="119"/>
      <c r="VE143" s="119"/>
      <c r="VF143" s="119"/>
      <c r="VG143" s="119"/>
      <c r="VH143" s="119"/>
      <c r="VI143" s="119"/>
      <c r="VJ143" s="119"/>
      <c r="VK143" s="119"/>
      <c r="VL143" s="119"/>
      <c r="VM143" s="119"/>
      <c r="VN143" s="119"/>
      <c r="VO143" s="119"/>
      <c r="VP143" s="119"/>
      <c r="VQ143" s="119"/>
      <c r="VR143" s="119"/>
      <c r="VS143" s="119"/>
      <c r="VT143" s="119"/>
      <c r="VU143" s="119"/>
      <c r="VV143" s="119"/>
      <c r="VW143" s="119"/>
      <c r="VX143" s="119"/>
      <c r="VY143" s="119"/>
      <c r="VZ143" s="119"/>
      <c r="WA143" s="119"/>
      <c r="WB143" s="119"/>
      <c r="WC143" s="119"/>
      <c r="WD143" s="119"/>
      <c r="WE143" s="119"/>
      <c r="WF143" s="119"/>
      <c r="WG143" s="119"/>
      <c r="WH143" s="119"/>
      <c r="WI143" s="119"/>
      <c r="WJ143" s="119"/>
      <c r="WK143" s="119"/>
      <c r="WL143" s="119"/>
      <c r="WM143" s="119"/>
      <c r="WN143" s="119"/>
      <c r="WO143" s="119"/>
      <c r="WP143" s="119"/>
      <c r="WQ143" s="119"/>
      <c r="WR143" s="119"/>
      <c r="WS143" s="119"/>
      <c r="WT143" s="119"/>
      <c r="WU143" s="119"/>
      <c r="WV143" s="119"/>
      <c r="WW143" s="119"/>
      <c r="WX143" s="119"/>
      <c r="WY143" s="119"/>
      <c r="WZ143" s="119"/>
      <c r="XA143" s="119"/>
      <c r="XB143" s="119"/>
      <c r="XC143" s="119"/>
      <c r="XD143" s="119"/>
      <c r="XE143" s="119"/>
      <c r="XF143" s="119"/>
      <c r="XG143" s="119"/>
      <c r="XH143" s="119"/>
      <c r="XI143" s="119"/>
      <c r="XJ143" s="119"/>
      <c r="XK143" s="119"/>
      <c r="XL143" s="119"/>
      <c r="XM143" s="119"/>
      <c r="XN143" s="119"/>
      <c r="XO143" s="119"/>
      <c r="XP143" s="119"/>
      <c r="XQ143" s="119"/>
      <c r="XR143" s="119"/>
      <c r="XS143" s="119"/>
      <c r="XT143" s="119"/>
      <c r="XU143" s="119"/>
      <c r="XV143" s="119"/>
      <c r="XW143" s="119"/>
      <c r="XX143" s="119"/>
      <c r="XY143" s="119"/>
      <c r="XZ143" s="119"/>
      <c r="YA143" s="119"/>
      <c r="YB143" s="119"/>
      <c r="YC143" s="119"/>
      <c r="YD143" s="119"/>
      <c r="YE143" s="119"/>
      <c r="YF143" s="119"/>
      <c r="YG143" s="119"/>
      <c r="YH143" s="119"/>
      <c r="YI143" s="119"/>
      <c r="YJ143" s="119"/>
      <c r="YK143" s="119"/>
      <c r="YL143" s="119"/>
      <c r="YM143" s="119"/>
      <c r="YN143" s="119"/>
      <c r="YO143" s="119"/>
      <c r="YP143" s="119"/>
      <c r="YQ143" s="119"/>
      <c r="YR143" s="119"/>
      <c r="YS143" s="119"/>
      <c r="YT143" s="119"/>
      <c r="YU143" s="119"/>
      <c r="YV143" s="119"/>
      <c r="YW143" s="119"/>
      <c r="YX143" s="119"/>
      <c r="YY143" s="119"/>
      <c r="YZ143" s="119"/>
      <c r="ZA143" s="119"/>
      <c r="ZB143" s="119"/>
      <c r="ZC143" s="119"/>
      <c r="ZD143" s="119"/>
      <c r="ZE143" s="119"/>
      <c r="ZF143" s="119"/>
      <c r="ZG143" s="119"/>
      <c r="ZH143" s="119"/>
      <c r="ZI143" s="119"/>
      <c r="ZJ143" s="119"/>
      <c r="ZK143" s="119"/>
      <c r="ZL143" s="119"/>
      <c r="ZM143" s="119"/>
      <c r="ZN143" s="119"/>
      <c r="ZO143" s="119"/>
      <c r="ZP143" s="119"/>
      <c r="ZQ143" s="119"/>
      <c r="ZR143" s="119"/>
      <c r="ZS143" s="119"/>
      <c r="ZT143" s="119"/>
      <c r="ZU143" s="119"/>
      <c r="ZV143" s="119"/>
      <c r="ZW143" s="119"/>
      <c r="ZX143" s="119"/>
      <c r="ZY143" s="119"/>
      <c r="ZZ143" s="119"/>
      <c r="AAA143" s="119"/>
      <c r="AAB143" s="119"/>
      <c r="AAC143" s="119"/>
      <c r="AAD143" s="119"/>
      <c r="AAE143" s="119"/>
      <c r="AAF143" s="119"/>
      <c r="AAG143" s="119"/>
      <c r="AAH143" s="119"/>
      <c r="AAI143" s="119"/>
      <c r="AAJ143" s="119"/>
      <c r="AAK143" s="119"/>
      <c r="AAL143" s="119"/>
      <c r="AAM143" s="119"/>
      <c r="AAN143" s="119"/>
      <c r="AAO143" s="119"/>
      <c r="AAP143" s="119"/>
      <c r="AAQ143" s="119"/>
      <c r="AAR143" s="119"/>
      <c r="AAS143" s="119"/>
      <c r="AAT143" s="119"/>
      <c r="AAU143" s="119"/>
      <c r="AAV143" s="119"/>
      <c r="AAW143" s="119"/>
      <c r="AAX143" s="119"/>
      <c r="AAY143" s="119"/>
      <c r="AAZ143" s="119"/>
      <c r="ABA143" s="119"/>
      <c r="ABB143" s="119"/>
      <c r="ABC143" s="119"/>
      <c r="ABD143" s="119"/>
      <c r="ABE143" s="119"/>
      <c r="ABF143" s="119"/>
      <c r="ABG143" s="119"/>
      <c r="ABH143" s="119"/>
      <c r="ABI143" s="119"/>
      <c r="ABJ143" s="119"/>
      <c r="ABK143" s="119"/>
      <c r="ABL143" s="119"/>
      <c r="ABM143" s="119"/>
      <c r="ABN143" s="119"/>
      <c r="ABO143" s="119"/>
      <c r="ABP143" s="119"/>
      <c r="ABQ143" s="119"/>
      <c r="ABR143" s="119"/>
      <c r="ABS143" s="119"/>
      <c r="ABT143" s="119"/>
      <c r="ABU143" s="119"/>
      <c r="ABV143" s="119"/>
      <c r="ABW143" s="119"/>
      <c r="ABX143" s="119"/>
      <c r="ABY143" s="119"/>
      <c r="ABZ143" s="119"/>
      <c r="ACA143" s="119"/>
      <c r="ACB143" s="119"/>
      <c r="ACC143" s="119"/>
      <c r="ACD143" s="119"/>
      <c r="ACE143" s="119"/>
      <c r="ACF143" s="119"/>
      <c r="ACG143" s="119"/>
      <c r="ACH143" s="119"/>
      <c r="ACI143" s="119"/>
      <c r="ACJ143" s="119"/>
      <c r="ACK143" s="119"/>
      <c r="ACL143" s="119"/>
      <c r="ACM143" s="119"/>
      <c r="ACN143" s="119"/>
      <c r="ACO143" s="119"/>
      <c r="ACP143" s="119"/>
      <c r="ACQ143" s="119"/>
    </row>
    <row r="144" spans="1:771" s="115" customFormat="1" ht="200.1" customHeight="1">
      <c r="A144" s="83"/>
      <c r="B144" s="109" t="s">
        <v>639</v>
      </c>
      <c r="C144" s="110"/>
      <c r="D144" s="109" t="s">
        <v>71</v>
      </c>
      <c r="E144" s="110"/>
      <c r="F144" s="109" t="s">
        <v>282</v>
      </c>
      <c r="G144" s="110"/>
      <c r="H144" s="109" t="s">
        <v>640</v>
      </c>
      <c r="I144" s="110"/>
      <c r="J144" s="109" t="s">
        <v>411</v>
      </c>
      <c r="K144" s="110"/>
      <c r="L144" s="61" t="s">
        <v>74</v>
      </c>
      <c r="M144" s="110"/>
      <c r="N144" s="109" t="s">
        <v>185</v>
      </c>
      <c r="O144" s="110"/>
      <c r="P144" s="109" t="s">
        <v>641</v>
      </c>
      <c r="Q144" s="110"/>
      <c r="R144" s="109" t="s">
        <v>77</v>
      </c>
      <c r="S144" s="110"/>
      <c r="T144" s="112" t="s">
        <v>642</v>
      </c>
      <c r="U144" s="113"/>
      <c r="V144" s="67" t="s">
        <v>79</v>
      </c>
      <c r="W144" s="68"/>
      <c r="X144" s="67" t="s">
        <v>80</v>
      </c>
      <c r="Y144" s="68"/>
      <c r="Z144" s="67" t="s">
        <v>79</v>
      </c>
      <c r="AA144" s="68"/>
      <c r="AB144" s="63" t="s">
        <v>80</v>
      </c>
      <c r="AD144" s="109" t="s">
        <v>643</v>
      </c>
      <c r="AE144" s="83"/>
      <c r="AF144" s="83"/>
      <c r="AG144" s="83"/>
      <c r="AH144" s="83"/>
      <c r="AI144" s="83"/>
      <c r="AJ144" s="83"/>
      <c r="AK144" s="83"/>
      <c r="AL144" s="83"/>
      <c r="AM144" s="83"/>
      <c r="AN144" s="83"/>
      <c r="AO144" s="83"/>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119"/>
      <c r="FC144" s="119"/>
      <c r="FD144" s="119"/>
      <c r="FE144" s="119"/>
      <c r="FF144" s="119"/>
      <c r="FG144" s="119"/>
      <c r="FH144" s="119"/>
      <c r="FI144" s="119"/>
      <c r="FJ144" s="119"/>
      <c r="FK144" s="119"/>
      <c r="FL144" s="119"/>
      <c r="FM144" s="119"/>
      <c r="FN144" s="119"/>
      <c r="FO144" s="119"/>
      <c r="FP144" s="119"/>
      <c r="FQ144" s="119"/>
      <c r="FR144" s="119"/>
      <c r="FS144" s="119"/>
      <c r="FT144" s="119"/>
      <c r="FU144" s="119"/>
      <c r="FV144" s="119"/>
      <c r="FW144" s="119"/>
      <c r="FX144" s="119"/>
      <c r="FY144" s="119"/>
      <c r="FZ144" s="119"/>
      <c r="GA144" s="119"/>
      <c r="GB144" s="119"/>
      <c r="GC144" s="119"/>
      <c r="GD144" s="119"/>
      <c r="GE144" s="119"/>
      <c r="GF144" s="119"/>
      <c r="GG144" s="119"/>
      <c r="GH144" s="119"/>
      <c r="GI144" s="119"/>
      <c r="GJ144" s="119"/>
      <c r="GK144" s="119"/>
      <c r="GL144" s="119"/>
      <c r="GM144" s="119"/>
      <c r="GN144" s="119"/>
      <c r="GO144" s="119"/>
      <c r="GP144" s="119"/>
      <c r="GQ144" s="119"/>
      <c r="GR144" s="119"/>
      <c r="GS144" s="119"/>
      <c r="GT144" s="119"/>
      <c r="GU144" s="119"/>
      <c r="GV144" s="119"/>
      <c r="GW144" s="119"/>
      <c r="GX144" s="119"/>
      <c r="GY144" s="119"/>
      <c r="GZ144" s="119"/>
      <c r="HA144" s="119"/>
      <c r="HB144" s="119"/>
      <c r="HC144" s="119"/>
      <c r="HD144" s="119"/>
      <c r="HE144" s="119"/>
      <c r="HF144" s="119"/>
      <c r="HG144" s="119"/>
      <c r="HH144" s="119"/>
      <c r="HI144" s="119"/>
      <c r="HJ144" s="119"/>
      <c r="HK144" s="119"/>
      <c r="HL144" s="119"/>
      <c r="HM144" s="119"/>
      <c r="HN144" s="119"/>
      <c r="HO144" s="119"/>
      <c r="HP144" s="119"/>
      <c r="HQ144" s="119"/>
      <c r="HR144" s="119"/>
      <c r="HS144" s="119"/>
      <c r="HT144" s="119"/>
      <c r="HU144" s="119"/>
      <c r="HV144" s="119"/>
      <c r="HW144" s="119"/>
      <c r="HX144" s="119"/>
      <c r="HY144" s="119"/>
      <c r="HZ144" s="119"/>
      <c r="IA144" s="119"/>
      <c r="IB144" s="119"/>
      <c r="IC144" s="119"/>
      <c r="ID144" s="119"/>
      <c r="IE144" s="119"/>
      <c r="IF144" s="119"/>
      <c r="IG144" s="119"/>
      <c r="IH144" s="119"/>
      <c r="II144" s="119"/>
      <c r="IJ144" s="119"/>
      <c r="IK144" s="119"/>
      <c r="IL144" s="119"/>
      <c r="IM144" s="119"/>
      <c r="IN144" s="119"/>
      <c r="IO144" s="119"/>
      <c r="IP144" s="119"/>
      <c r="IQ144" s="119"/>
      <c r="IR144" s="119"/>
      <c r="IS144" s="119"/>
      <c r="IT144" s="119"/>
      <c r="IU144" s="119"/>
      <c r="IV144" s="119"/>
      <c r="IW144" s="119"/>
      <c r="IX144" s="119"/>
      <c r="IY144" s="119"/>
      <c r="IZ144" s="119"/>
      <c r="JA144" s="119"/>
      <c r="JB144" s="119"/>
      <c r="JC144" s="119"/>
      <c r="JD144" s="119"/>
      <c r="JE144" s="119"/>
      <c r="JF144" s="119"/>
      <c r="JG144" s="119"/>
      <c r="JH144" s="119"/>
      <c r="JI144" s="119"/>
      <c r="JJ144" s="119"/>
      <c r="JK144" s="119"/>
      <c r="JL144" s="119"/>
      <c r="JM144" s="119"/>
      <c r="JN144" s="119"/>
      <c r="JO144" s="119"/>
      <c r="JP144" s="119"/>
      <c r="JQ144" s="119"/>
      <c r="JR144" s="119"/>
      <c r="JS144" s="119"/>
      <c r="JT144" s="119"/>
      <c r="JU144" s="119"/>
      <c r="JV144" s="119"/>
      <c r="JW144" s="119"/>
      <c r="JX144" s="119"/>
      <c r="JY144" s="119"/>
      <c r="JZ144" s="119"/>
      <c r="KA144" s="119"/>
      <c r="KB144" s="119"/>
      <c r="KC144" s="119"/>
      <c r="KD144" s="119"/>
      <c r="KE144" s="119"/>
      <c r="KF144" s="119"/>
      <c r="KG144" s="119"/>
      <c r="KH144" s="119"/>
      <c r="KI144" s="119"/>
      <c r="KJ144" s="119"/>
      <c r="KK144" s="119"/>
      <c r="KL144" s="119"/>
      <c r="KM144" s="119"/>
      <c r="KN144" s="119"/>
      <c r="KO144" s="119"/>
      <c r="KP144" s="119"/>
      <c r="KQ144" s="119"/>
      <c r="KR144" s="119"/>
      <c r="KS144" s="119"/>
      <c r="KT144" s="119"/>
      <c r="KU144" s="119"/>
      <c r="KV144" s="119"/>
      <c r="KW144" s="119"/>
      <c r="KX144" s="119"/>
      <c r="KY144" s="119"/>
      <c r="KZ144" s="119"/>
      <c r="LA144" s="119"/>
      <c r="LB144" s="119"/>
      <c r="LC144" s="119"/>
      <c r="LD144" s="119"/>
      <c r="LE144" s="119"/>
      <c r="LF144" s="119"/>
      <c r="LG144" s="119"/>
      <c r="LH144" s="119"/>
      <c r="LI144" s="119"/>
      <c r="LJ144" s="119"/>
      <c r="LK144" s="119"/>
      <c r="LL144" s="119"/>
      <c r="LM144" s="119"/>
      <c r="LN144" s="119"/>
      <c r="LO144" s="119"/>
      <c r="LP144" s="119"/>
      <c r="LQ144" s="119"/>
      <c r="LR144" s="119"/>
      <c r="LS144" s="119"/>
      <c r="LT144" s="119"/>
      <c r="LU144" s="119"/>
      <c r="LV144" s="119"/>
      <c r="LW144" s="119"/>
      <c r="LX144" s="119"/>
      <c r="LY144" s="119"/>
      <c r="LZ144" s="119"/>
      <c r="MA144" s="119"/>
      <c r="MB144" s="119"/>
      <c r="MC144" s="119"/>
      <c r="MD144" s="119"/>
      <c r="ME144" s="119"/>
      <c r="MF144" s="119"/>
      <c r="MG144" s="119"/>
      <c r="MH144" s="119"/>
      <c r="MI144" s="119"/>
      <c r="MJ144" s="119"/>
      <c r="MK144" s="119"/>
      <c r="ML144" s="119"/>
      <c r="MM144" s="119"/>
      <c r="MN144" s="119"/>
      <c r="MO144" s="119"/>
      <c r="MP144" s="119"/>
      <c r="MQ144" s="119"/>
      <c r="MR144" s="119"/>
      <c r="MS144" s="119"/>
      <c r="MT144" s="119"/>
      <c r="MU144" s="119"/>
      <c r="MV144" s="119"/>
      <c r="MW144" s="119"/>
      <c r="MX144" s="119"/>
      <c r="MY144" s="119"/>
      <c r="MZ144" s="119"/>
      <c r="NA144" s="119"/>
      <c r="NB144" s="119"/>
      <c r="NC144" s="119"/>
      <c r="ND144" s="119"/>
      <c r="NE144" s="119"/>
      <c r="NF144" s="119"/>
      <c r="NG144" s="119"/>
      <c r="NH144" s="119"/>
      <c r="NI144" s="119"/>
      <c r="NJ144" s="119"/>
      <c r="NK144" s="119"/>
      <c r="NL144" s="119"/>
      <c r="NM144" s="119"/>
      <c r="NN144" s="119"/>
      <c r="NO144" s="119"/>
      <c r="NP144" s="119"/>
      <c r="NQ144" s="119"/>
      <c r="NR144" s="119"/>
      <c r="NS144" s="119"/>
      <c r="NT144" s="119"/>
      <c r="NU144" s="119"/>
      <c r="NV144" s="119"/>
      <c r="NW144" s="119"/>
      <c r="NX144" s="119"/>
      <c r="NY144" s="119"/>
      <c r="NZ144" s="119"/>
      <c r="OA144" s="119"/>
      <c r="OB144" s="119"/>
      <c r="OC144" s="119"/>
      <c r="OD144" s="119"/>
      <c r="OE144" s="119"/>
      <c r="OF144" s="119"/>
      <c r="OG144" s="119"/>
      <c r="OH144" s="119"/>
      <c r="OI144" s="119"/>
      <c r="OJ144" s="119"/>
      <c r="OK144" s="119"/>
      <c r="OL144" s="119"/>
      <c r="OM144" s="119"/>
      <c r="ON144" s="119"/>
      <c r="OO144" s="119"/>
      <c r="OP144" s="119"/>
      <c r="OQ144" s="119"/>
      <c r="OR144" s="119"/>
      <c r="OS144" s="119"/>
      <c r="OT144" s="119"/>
      <c r="OU144" s="119"/>
      <c r="OV144" s="119"/>
      <c r="OW144" s="119"/>
      <c r="OX144" s="119"/>
      <c r="OY144" s="119"/>
      <c r="OZ144" s="119"/>
      <c r="PA144" s="119"/>
      <c r="PB144" s="119"/>
      <c r="PC144" s="119"/>
      <c r="PD144" s="119"/>
      <c r="PE144" s="119"/>
      <c r="PF144" s="119"/>
      <c r="PG144" s="119"/>
      <c r="PH144" s="119"/>
      <c r="PI144" s="119"/>
      <c r="PJ144" s="119"/>
      <c r="PK144" s="119"/>
      <c r="PL144" s="119"/>
      <c r="PM144" s="119"/>
      <c r="PN144" s="119"/>
      <c r="PO144" s="119"/>
      <c r="PP144" s="119"/>
      <c r="PQ144" s="119"/>
      <c r="PR144" s="119"/>
      <c r="PS144" s="119"/>
      <c r="PT144" s="119"/>
      <c r="PU144" s="119"/>
      <c r="PV144" s="119"/>
      <c r="PW144" s="119"/>
      <c r="PX144" s="119"/>
      <c r="PY144" s="119"/>
      <c r="PZ144" s="119"/>
      <c r="QA144" s="119"/>
      <c r="QB144" s="119"/>
      <c r="QC144" s="119"/>
      <c r="QD144" s="119"/>
      <c r="QE144" s="119"/>
      <c r="QF144" s="119"/>
      <c r="QG144" s="119"/>
      <c r="QH144" s="119"/>
      <c r="QI144" s="119"/>
      <c r="QJ144" s="119"/>
      <c r="QK144" s="119"/>
      <c r="QL144" s="119"/>
      <c r="QM144" s="119"/>
      <c r="QN144" s="119"/>
      <c r="QO144" s="119"/>
      <c r="QP144" s="119"/>
      <c r="QQ144" s="119"/>
      <c r="QR144" s="119"/>
      <c r="QS144" s="119"/>
      <c r="QT144" s="119"/>
      <c r="QU144" s="119"/>
      <c r="QV144" s="119"/>
      <c r="QW144" s="119"/>
      <c r="QX144" s="119"/>
      <c r="QY144" s="119"/>
      <c r="QZ144" s="119"/>
      <c r="RA144" s="119"/>
      <c r="RB144" s="119"/>
      <c r="RC144" s="119"/>
      <c r="RD144" s="119"/>
      <c r="RE144" s="119"/>
      <c r="RF144" s="119"/>
      <c r="RG144" s="119"/>
      <c r="RH144" s="119"/>
      <c r="RI144" s="119"/>
      <c r="RJ144" s="119"/>
      <c r="RK144" s="119"/>
      <c r="RL144" s="119"/>
      <c r="RM144" s="119"/>
      <c r="RN144" s="119"/>
      <c r="RO144" s="119"/>
      <c r="RP144" s="119"/>
      <c r="RQ144" s="119"/>
      <c r="RR144" s="119"/>
      <c r="RS144" s="119"/>
      <c r="RT144" s="119"/>
      <c r="RU144" s="119"/>
      <c r="RV144" s="119"/>
      <c r="RW144" s="119"/>
      <c r="RX144" s="119"/>
      <c r="RY144" s="119"/>
      <c r="RZ144" s="119"/>
      <c r="SA144" s="119"/>
      <c r="SB144" s="119"/>
      <c r="SC144" s="119"/>
      <c r="SD144" s="119"/>
      <c r="SE144" s="119"/>
      <c r="SF144" s="119"/>
      <c r="SG144" s="119"/>
      <c r="SH144" s="119"/>
      <c r="SI144" s="119"/>
      <c r="SJ144" s="119"/>
      <c r="SK144" s="119"/>
      <c r="SL144" s="119"/>
      <c r="SM144" s="119"/>
      <c r="SN144" s="119"/>
      <c r="SO144" s="119"/>
      <c r="SP144" s="119"/>
      <c r="SQ144" s="119"/>
      <c r="SR144" s="119"/>
      <c r="SS144" s="119"/>
      <c r="ST144" s="119"/>
      <c r="SU144" s="119"/>
      <c r="SV144" s="119"/>
      <c r="SW144" s="119"/>
      <c r="SX144" s="119"/>
      <c r="SY144" s="119"/>
      <c r="SZ144" s="119"/>
      <c r="TA144" s="119"/>
      <c r="TB144" s="119"/>
      <c r="TC144" s="119"/>
      <c r="TD144" s="119"/>
      <c r="TE144" s="119"/>
      <c r="TF144" s="119"/>
      <c r="TG144" s="119"/>
      <c r="TH144" s="119"/>
      <c r="TI144" s="119"/>
      <c r="TJ144" s="119"/>
      <c r="TK144" s="119"/>
      <c r="TL144" s="119"/>
      <c r="TM144" s="119"/>
      <c r="TN144" s="119"/>
      <c r="TO144" s="119"/>
      <c r="TP144" s="119"/>
      <c r="TQ144" s="119"/>
      <c r="TR144" s="119"/>
      <c r="TS144" s="119"/>
      <c r="TT144" s="119"/>
      <c r="TU144" s="119"/>
      <c r="TV144" s="119"/>
      <c r="TW144" s="119"/>
      <c r="TX144" s="119"/>
      <c r="TY144" s="119"/>
      <c r="TZ144" s="119"/>
      <c r="UA144" s="119"/>
      <c r="UB144" s="119"/>
      <c r="UC144" s="119"/>
      <c r="UD144" s="119"/>
      <c r="UE144" s="119"/>
      <c r="UF144" s="119"/>
      <c r="UG144" s="119"/>
      <c r="UH144" s="119"/>
      <c r="UI144" s="119"/>
      <c r="UJ144" s="119"/>
      <c r="UK144" s="119"/>
      <c r="UL144" s="119"/>
      <c r="UM144" s="119"/>
      <c r="UN144" s="119"/>
      <c r="UO144" s="119"/>
      <c r="UP144" s="119"/>
      <c r="UQ144" s="119"/>
      <c r="UR144" s="119"/>
      <c r="US144" s="119"/>
      <c r="UT144" s="119"/>
      <c r="UU144" s="119"/>
      <c r="UV144" s="119"/>
      <c r="UW144" s="119"/>
      <c r="UX144" s="119"/>
      <c r="UY144" s="119"/>
      <c r="UZ144" s="119"/>
      <c r="VA144" s="119"/>
      <c r="VB144" s="119"/>
      <c r="VC144" s="119"/>
      <c r="VD144" s="119"/>
      <c r="VE144" s="119"/>
      <c r="VF144" s="119"/>
      <c r="VG144" s="119"/>
      <c r="VH144" s="119"/>
      <c r="VI144" s="119"/>
      <c r="VJ144" s="119"/>
      <c r="VK144" s="119"/>
      <c r="VL144" s="119"/>
      <c r="VM144" s="119"/>
      <c r="VN144" s="119"/>
      <c r="VO144" s="119"/>
      <c r="VP144" s="119"/>
      <c r="VQ144" s="119"/>
      <c r="VR144" s="119"/>
      <c r="VS144" s="119"/>
      <c r="VT144" s="119"/>
      <c r="VU144" s="119"/>
      <c r="VV144" s="119"/>
      <c r="VW144" s="119"/>
      <c r="VX144" s="119"/>
      <c r="VY144" s="119"/>
      <c r="VZ144" s="119"/>
      <c r="WA144" s="119"/>
      <c r="WB144" s="119"/>
      <c r="WC144" s="119"/>
      <c r="WD144" s="119"/>
      <c r="WE144" s="119"/>
      <c r="WF144" s="119"/>
      <c r="WG144" s="119"/>
      <c r="WH144" s="119"/>
      <c r="WI144" s="119"/>
      <c r="WJ144" s="119"/>
      <c r="WK144" s="119"/>
      <c r="WL144" s="119"/>
      <c r="WM144" s="119"/>
      <c r="WN144" s="119"/>
      <c r="WO144" s="119"/>
      <c r="WP144" s="119"/>
      <c r="WQ144" s="119"/>
      <c r="WR144" s="119"/>
      <c r="WS144" s="119"/>
      <c r="WT144" s="119"/>
      <c r="WU144" s="119"/>
      <c r="WV144" s="119"/>
      <c r="WW144" s="119"/>
      <c r="WX144" s="119"/>
      <c r="WY144" s="119"/>
      <c r="WZ144" s="119"/>
      <c r="XA144" s="119"/>
      <c r="XB144" s="119"/>
      <c r="XC144" s="119"/>
      <c r="XD144" s="119"/>
      <c r="XE144" s="119"/>
      <c r="XF144" s="119"/>
      <c r="XG144" s="119"/>
      <c r="XH144" s="119"/>
      <c r="XI144" s="119"/>
      <c r="XJ144" s="119"/>
      <c r="XK144" s="119"/>
      <c r="XL144" s="119"/>
      <c r="XM144" s="119"/>
      <c r="XN144" s="119"/>
      <c r="XO144" s="119"/>
      <c r="XP144" s="119"/>
      <c r="XQ144" s="119"/>
      <c r="XR144" s="119"/>
      <c r="XS144" s="119"/>
      <c r="XT144" s="119"/>
      <c r="XU144" s="119"/>
      <c r="XV144" s="119"/>
      <c r="XW144" s="119"/>
      <c r="XX144" s="119"/>
      <c r="XY144" s="119"/>
      <c r="XZ144" s="119"/>
      <c r="YA144" s="119"/>
      <c r="YB144" s="119"/>
      <c r="YC144" s="119"/>
      <c r="YD144" s="119"/>
      <c r="YE144" s="119"/>
      <c r="YF144" s="119"/>
      <c r="YG144" s="119"/>
      <c r="YH144" s="119"/>
      <c r="YI144" s="119"/>
      <c r="YJ144" s="119"/>
      <c r="YK144" s="119"/>
      <c r="YL144" s="119"/>
      <c r="YM144" s="119"/>
      <c r="YN144" s="119"/>
      <c r="YO144" s="119"/>
      <c r="YP144" s="119"/>
      <c r="YQ144" s="119"/>
      <c r="YR144" s="119"/>
      <c r="YS144" s="119"/>
      <c r="YT144" s="119"/>
      <c r="YU144" s="119"/>
      <c r="YV144" s="119"/>
      <c r="YW144" s="119"/>
      <c r="YX144" s="119"/>
      <c r="YY144" s="119"/>
      <c r="YZ144" s="119"/>
      <c r="ZA144" s="119"/>
      <c r="ZB144" s="119"/>
      <c r="ZC144" s="119"/>
      <c r="ZD144" s="119"/>
      <c r="ZE144" s="119"/>
      <c r="ZF144" s="119"/>
      <c r="ZG144" s="119"/>
      <c r="ZH144" s="119"/>
      <c r="ZI144" s="119"/>
      <c r="ZJ144" s="119"/>
      <c r="ZK144" s="119"/>
      <c r="ZL144" s="119"/>
      <c r="ZM144" s="119"/>
      <c r="ZN144" s="119"/>
      <c r="ZO144" s="119"/>
      <c r="ZP144" s="119"/>
      <c r="ZQ144" s="119"/>
      <c r="ZR144" s="119"/>
      <c r="ZS144" s="119"/>
      <c r="ZT144" s="119"/>
      <c r="ZU144" s="119"/>
      <c r="ZV144" s="119"/>
      <c r="ZW144" s="119"/>
      <c r="ZX144" s="119"/>
      <c r="ZY144" s="119"/>
      <c r="ZZ144" s="119"/>
      <c r="AAA144" s="119"/>
      <c r="AAB144" s="119"/>
      <c r="AAC144" s="119"/>
      <c r="AAD144" s="119"/>
      <c r="AAE144" s="119"/>
      <c r="AAF144" s="119"/>
      <c r="AAG144" s="119"/>
      <c r="AAH144" s="119"/>
      <c r="AAI144" s="119"/>
      <c r="AAJ144" s="119"/>
      <c r="AAK144" s="119"/>
      <c r="AAL144" s="119"/>
      <c r="AAM144" s="119"/>
      <c r="AAN144" s="119"/>
      <c r="AAO144" s="119"/>
      <c r="AAP144" s="119"/>
      <c r="AAQ144" s="119"/>
      <c r="AAR144" s="119"/>
      <c r="AAS144" s="119"/>
      <c r="AAT144" s="119"/>
      <c r="AAU144" s="119"/>
      <c r="AAV144" s="119"/>
      <c r="AAW144" s="119"/>
      <c r="AAX144" s="119"/>
      <c r="AAY144" s="119"/>
      <c r="AAZ144" s="119"/>
      <c r="ABA144" s="119"/>
      <c r="ABB144" s="119"/>
      <c r="ABC144" s="119"/>
      <c r="ABD144" s="119"/>
      <c r="ABE144" s="119"/>
      <c r="ABF144" s="119"/>
      <c r="ABG144" s="119"/>
      <c r="ABH144" s="119"/>
      <c r="ABI144" s="119"/>
      <c r="ABJ144" s="119"/>
      <c r="ABK144" s="119"/>
      <c r="ABL144" s="119"/>
      <c r="ABM144" s="119"/>
      <c r="ABN144" s="119"/>
      <c r="ABO144" s="119"/>
      <c r="ABP144" s="119"/>
      <c r="ABQ144" s="119"/>
      <c r="ABR144" s="119"/>
      <c r="ABS144" s="119"/>
      <c r="ABT144" s="119"/>
      <c r="ABU144" s="119"/>
      <c r="ABV144" s="119"/>
      <c r="ABW144" s="119"/>
      <c r="ABX144" s="119"/>
      <c r="ABY144" s="119"/>
      <c r="ABZ144" s="119"/>
      <c r="ACA144" s="119"/>
      <c r="ACB144" s="119"/>
      <c r="ACC144" s="119"/>
      <c r="ACD144" s="119"/>
      <c r="ACE144" s="119"/>
      <c r="ACF144" s="119"/>
      <c r="ACG144" s="119"/>
      <c r="ACH144" s="119"/>
      <c r="ACI144" s="119"/>
      <c r="ACJ144" s="119"/>
      <c r="ACK144" s="119"/>
      <c r="ACL144" s="119"/>
      <c r="ACM144" s="119"/>
      <c r="ACN144" s="119"/>
      <c r="ACO144" s="119"/>
      <c r="ACP144" s="119"/>
      <c r="ACQ144" s="119"/>
    </row>
    <row r="145" spans="1:771" s="115" customFormat="1" ht="72.95" customHeight="1">
      <c r="A145" s="83"/>
      <c r="B145" s="109" t="s">
        <v>644</v>
      </c>
      <c r="C145" s="110"/>
      <c r="D145" s="109" t="s">
        <v>71</v>
      </c>
      <c r="E145" s="110"/>
      <c r="F145" s="109" t="s">
        <v>282</v>
      </c>
      <c r="G145" s="110"/>
      <c r="H145" s="109" t="s">
        <v>645</v>
      </c>
      <c r="I145" s="110"/>
      <c r="J145" s="109" t="s">
        <v>411</v>
      </c>
      <c r="K145" s="110"/>
      <c r="L145" s="61" t="s">
        <v>74</v>
      </c>
      <c r="M145" s="110"/>
      <c r="N145" s="109" t="s">
        <v>103</v>
      </c>
      <c r="O145" s="110"/>
      <c r="P145" s="109" t="s">
        <v>646</v>
      </c>
      <c r="Q145" s="110"/>
      <c r="R145" s="109" t="s">
        <v>77</v>
      </c>
      <c r="S145" s="110"/>
      <c r="T145" s="112" t="s">
        <v>647</v>
      </c>
      <c r="U145" s="113"/>
      <c r="V145" s="67" t="s">
        <v>80</v>
      </c>
      <c r="W145" s="68"/>
      <c r="X145" s="67" t="s">
        <v>80</v>
      </c>
      <c r="Y145" s="68"/>
      <c r="Z145" s="67" t="s">
        <v>80</v>
      </c>
      <c r="AA145" s="68"/>
      <c r="AB145" s="114" t="s">
        <v>276</v>
      </c>
      <c r="AD145" s="109" t="s">
        <v>648</v>
      </c>
      <c r="AE145" s="83"/>
      <c r="AF145" s="83"/>
      <c r="AG145" s="83"/>
      <c r="AH145" s="83"/>
      <c r="AI145" s="83"/>
      <c r="AJ145" s="83"/>
      <c r="AK145" s="83"/>
      <c r="AL145" s="83"/>
      <c r="AM145" s="83"/>
      <c r="AN145" s="83"/>
      <c r="AO145" s="83"/>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119"/>
      <c r="FC145" s="119"/>
      <c r="FD145" s="119"/>
      <c r="FE145" s="119"/>
      <c r="FF145" s="119"/>
      <c r="FG145" s="119"/>
      <c r="FH145" s="119"/>
      <c r="FI145" s="119"/>
      <c r="FJ145" s="119"/>
      <c r="FK145" s="119"/>
      <c r="FL145" s="119"/>
      <c r="FM145" s="119"/>
      <c r="FN145" s="119"/>
      <c r="FO145" s="119"/>
      <c r="FP145" s="119"/>
      <c r="FQ145" s="119"/>
      <c r="FR145" s="119"/>
      <c r="FS145" s="119"/>
      <c r="FT145" s="119"/>
      <c r="FU145" s="119"/>
      <c r="FV145" s="119"/>
      <c r="FW145" s="119"/>
      <c r="FX145" s="119"/>
      <c r="FY145" s="119"/>
      <c r="FZ145" s="119"/>
      <c r="GA145" s="119"/>
      <c r="GB145" s="119"/>
      <c r="GC145" s="119"/>
      <c r="GD145" s="119"/>
      <c r="GE145" s="119"/>
      <c r="GF145" s="119"/>
      <c r="GG145" s="119"/>
      <c r="GH145" s="119"/>
      <c r="GI145" s="119"/>
      <c r="GJ145" s="119"/>
      <c r="GK145" s="119"/>
      <c r="GL145" s="119"/>
      <c r="GM145" s="119"/>
      <c r="GN145" s="119"/>
      <c r="GO145" s="119"/>
      <c r="GP145" s="119"/>
      <c r="GQ145" s="119"/>
      <c r="GR145" s="119"/>
      <c r="GS145" s="119"/>
      <c r="GT145" s="119"/>
      <c r="GU145" s="119"/>
      <c r="GV145" s="119"/>
      <c r="GW145" s="119"/>
      <c r="GX145" s="119"/>
      <c r="GY145" s="119"/>
      <c r="GZ145" s="119"/>
      <c r="HA145" s="119"/>
      <c r="HB145" s="119"/>
      <c r="HC145" s="119"/>
      <c r="HD145" s="119"/>
      <c r="HE145" s="119"/>
      <c r="HF145" s="119"/>
      <c r="HG145" s="119"/>
      <c r="HH145" s="119"/>
      <c r="HI145" s="119"/>
      <c r="HJ145" s="119"/>
      <c r="HK145" s="119"/>
      <c r="HL145" s="119"/>
      <c r="HM145" s="119"/>
      <c r="HN145" s="119"/>
      <c r="HO145" s="119"/>
      <c r="HP145" s="119"/>
      <c r="HQ145" s="119"/>
      <c r="HR145" s="119"/>
      <c r="HS145" s="119"/>
      <c r="HT145" s="119"/>
      <c r="HU145" s="119"/>
      <c r="HV145" s="119"/>
      <c r="HW145" s="119"/>
      <c r="HX145" s="119"/>
      <c r="HY145" s="119"/>
      <c r="HZ145" s="119"/>
      <c r="IA145" s="119"/>
      <c r="IB145" s="119"/>
      <c r="IC145" s="119"/>
      <c r="ID145" s="119"/>
      <c r="IE145" s="119"/>
      <c r="IF145" s="119"/>
      <c r="IG145" s="119"/>
      <c r="IH145" s="119"/>
      <c r="II145" s="119"/>
      <c r="IJ145" s="119"/>
      <c r="IK145" s="119"/>
      <c r="IL145" s="119"/>
      <c r="IM145" s="119"/>
      <c r="IN145" s="119"/>
      <c r="IO145" s="119"/>
      <c r="IP145" s="119"/>
      <c r="IQ145" s="119"/>
      <c r="IR145" s="119"/>
      <c r="IS145" s="119"/>
      <c r="IT145" s="119"/>
      <c r="IU145" s="119"/>
      <c r="IV145" s="119"/>
      <c r="IW145" s="119"/>
      <c r="IX145" s="119"/>
      <c r="IY145" s="119"/>
      <c r="IZ145" s="119"/>
      <c r="JA145" s="119"/>
      <c r="JB145" s="119"/>
      <c r="JC145" s="119"/>
      <c r="JD145" s="119"/>
      <c r="JE145" s="119"/>
      <c r="JF145" s="119"/>
      <c r="JG145" s="119"/>
      <c r="JH145" s="119"/>
      <c r="JI145" s="119"/>
      <c r="JJ145" s="119"/>
      <c r="JK145" s="119"/>
      <c r="JL145" s="119"/>
      <c r="JM145" s="119"/>
      <c r="JN145" s="119"/>
      <c r="JO145" s="119"/>
      <c r="JP145" s="119"/>
      <c r="JQ145" s="119"/>
      <c r="JR145" s="119"/>
      <c r="JS145" s="119"/>
      <c r="JT145" s="119"/>
      <c r="JU145" s="119"/>
      <c r="JV145" s="119"/>
      <c r="JW145" s="119"/>
      <c r="JX145" s="119"/>
      <c r="JY145" s="119"/>
      <c r="JZ145" s="119"/>
      <c r="KA145" s="119"/>
      <c r="KB145" s="119"/>
      <c r="KC145" s="119"/>
      <c r="KD145" s="119"/>
      <c r="KE145" s="119"/>
      <c r="KF145" s="119"/>
      <c r="KG145" s="119"/>
      <c r="KH145" s="119"/>
      <c r="KI145" s="119"/>
      <c r="KJ145" s="119"/>
      <c r="KK145" s="119"/>
      <c r="KL145" s="119"/>
      <c r="KM145" s="119"/>
      <c r="KN145" s="119"/>
      <c r="KO145" s="119"/>
      <c r="KP145" s="119"/>
      <c r="KQ145" s="119"/>
      <c r="KR145" s="119"/>
      <c r="KS145" s="119"/>
      <c r="KT145" s="119"/>
      <c r="KU145" s="119"/>
      <c r="KV145" s="119"/>
      <c r="KW145" s="119"/>
      <c r="KX145" s="119"/>
      <c r="KY145" s="119"/>
      <c r="KZ145" s="119"/>
      <c r="LA145" s="119"/>
      <c r="LB145" s="119"/>
      <c r="LC145" s="119"/>
      <c r="LD145" s="119"/>
      <c r="LE145" s="119"/>
      <c r="LF145" s="119"/>
      <c r="LG145" s="119"/>
      <c r="LH145" s="119"/>
      <c r="LI145" s="119"/>
      <c r="LJ145" s="119"/>
      <c r="LK145" s="119"/>
      <c r="LL145" s="119"/>
      <c r="LM145" s="119"/>
      <c r="LN145" s="119"/>
      <c r="LO145" s="119"/>
      <c r="LP145" s="119"/>
      <c r="LQ145" s="119"/>
      <c r="LR145" s="119"/>
      <c r="LS145" s="119"/>
      <c r="LT145" s="119"/>
      <c r="LU145" s="119"/>
      <c r="LV145" s="119"/>
      <c r="LW145" s="119"/>
      <c r="LX145" s="119"/>
      <c r="LY145" s="119"/>
      <c r="LZ145" s="119"/>
      <c r="MA145" s="119"/>
      <c r="MB145" s="119"/>
      <c r="MC145" s="119"/>
      <c r="MD145" s="119"/>
      <c r="ME145" s="119"/>
      <c r="MF145" s="119"/>
      <c r="MG145" s="119"/>
      <c r="MH145" s="119"/>
      <c r="MI145" s="119"/>
      <c r="MJ145" s="119"/>
      <c r="MK145" s="119"/>
      <c r="ML145" s="119"/>
      <c r="MM145" s="119"/>
      <c r="MN145" s="119"/>
      <c r="MO145" s="119"/>
      <c r="MP145" s="119"/>
      <c r="MQ145" s="119"/>
      <c r="MR145" s="119"/>
      <c r="MS145" s="119"/>
      <c r="MT145" s="119"/>
      <c r="MU145" s="119"/>
      <c r="MV145" s="119"/>
      <c r="MW145" s="119"/>
      <c r="MX145" s="119"/>
      <c r="MY145" s="119"/>
      <c r="MZ145" s="119"/>
      <c r="NA145" s="119"/>
      <c r="NB145" s="119"/>
      <c r="NC145" s="119"/>
      <c r="ND145" s="119"/>
      <c r="NE145" s="119"/>
      <c r="NF145" s="119"/>
      <c r="NG145" s="119"/>
      <c r="NH145" s="119"/>
      <c r="NI145" s="119"/>
      <c r="NJ145" s="119"/>
      <c r="NK145" s="119"/>
      <c r="NL145" s="119"/>
      <c r="NM145" s="119"/>
      <c r="NN145" s="119"/>
      <c r="NO145" s="119"/>
      <c r="NP145" s="119"/>
      <c r="NQ145" s="119"/>
      <c r="NR145" s="119"/>
      <c r="NS145" s="119"/>
      <c r="NT145" s="119"/>
      <c r="NU145" s="119"/>
      <c r="NV145" s="119"/>
      <c r="NW145" s="119"/>
      <c r="NX145" s="119"/>
      <c r="NY145" s="119"/>
      <c r="NZ145" s="119"/>
      <c r="OA145" s="119"/>
      <c r="OB145" s="119"/>
      <c r="OC145" s="119"/>
      <c r="OD145" s="119"/>
      <c r="OE145" s="119"/>
      <c r="OF145" s="119"/>
      <c r="OG145" s="119"/>
      <c r="OH145" s="119"/>
      <c r="OI145" s="119"/>
      <c r="OJ145" s="119"/>
      <c r="OK145" s="119"/>
      <c r="OL145" s="119"/>
      <c r="OM145" s="119"/>
      <c r="ON145" s="119"/>
      <c r="OO145" s="119"/>
      <c r="OP145" s="119"/>
      <c r="OQ145" s="119"/>
      <c r="OR145" s="119"/>
      <c r="OS145" s="119"/>
      <c r="OT145" s="119"/>
      <c r="OU145" s="119"/>
      <c r="OV145" s="119"/>
      <c r="OW145" s="119"/>
      <c r="OX145" s="119"/>
      <c r="OY145" s="119"/>
      <c r="OZ145" s="119"/>
      <c r="PA145" s="119"/>
      <c r="PB145" s="119"/>
      <c r="PC145" s="119"/>
      <c r="PD145" s="119"/>
      <c r="PE145" s="119"/>
      <c r="PF145" s="119"/>
      <c r="PG145" s="119"/>
      <c r="PH145" s="119"/>
      <c r="PI145" s="119"/>
      <c r="PJ145" s="119"/>
      <c r="PK145" s="119"/>
      <c r="PL145" s="119"/>
      <c r="PM145" s="119"/>
      <c r="PN145" s="119"/>
      <c r="PO145" s="119"/>
      <c r="PP145" s="119"/>
      <c r="PQ145" s="119"/>
      <c r="PR145" s="119"/>
      <c r="PS145" s="119"/>
      <c r="PT145" s="119"/>
      <c r="PU145" s="119"/>
      <c r="PV145" s="119"/>
      <c r="PW145" s="119"/>
      <c r="PX145" s="119"/>
      <c r="PY145" s="119"/>
      <c r="PZ145" s="119"/>
      <c r="QA145" s="119"/>
      <c r="QB145" s="119"/>
      <c r="QC145" s="119"/>
      <c r="QD145" s="119"/>
      <c r="QE145" s="119"/>
      <c r="QF145" s="119"/>
      <c r="QG145" s="119"/>
      <c r="QH145" s="119"/>
      <c r="QI145" s="119"/>
      <c r="QJ145" s="119"/>
      <c r="QK145" s="119"/>
      <c r="QL145" s="119"/>
      <c r="QM145" s="119"/>
      <c r="QN145" s="119"/>
      <c r="QO145" s="119"/>
      <c r="QP145" s="119"/>
      <c r="QQ145" s="119"/>
      <c r="QR145" s="119"/>
      <c r="QS145" s="119"/>
      <c r="QT145" s="119"/>
      <c r="QU145" s="119"/>
      <c r="QV145" s="119"/>
      <c r="QW145" s="119"/>
      <c r="QX145" s="119"/>
      <c r="QY145" s="119"/>
      <c r="QZ145" s="119"/>
      <c r="RA145" s="119"/>
      <c r="RB145" s="119"/>
      <c r="RC145" s="119"/>
      <c r="RD145" s="119"/>
      <c r="RE145" s="119"/>
      <c r="RF145" s="119"/>
      <c r="RG145" s="119"/>
      <c r="RH145" s="119"/>
      <c r="RI145" s="119"/>
      <c r="RJ145" s="119"/>
      <c r="RK145" s="119"/>
      <c r="RL145" s="119"/>
      <c r="RM145" s="119"/>
      <c r="RN145" s="119"/>
      <c r="RO145" s="119"/>
      <c r="RP145" s="119"/>
      <c r="RQ145" s="119"/>
      <c r="RR145" s="119"/>
      <c r="RS145" s="119"/>
      <c r="RT145" s="119"/>
      <c r="RU145" s="119"/>
      <c r="RV145" s="119"/>
      <c r="RW145" s="119"/>
      <c r="RX145" s="119"/>
      <c r="RY145" s="119"/>
      <c r="RZ145" s="119"/>
      <c r="SA145" s="119"/>
      <c r="SB145" s="119"/>
      <c r="SC145" s="119"/>
      <c r="SD145" s="119"/>
      <c r="SE145" s="119"/>
      <c r="SF145" s="119"/>
      <c r="SG145" s="119"/>
      <c r="SH145" s="119"/>
      <c r="SI145" s="119"/>
      <c r="SJ145" s="119"/>
      <c r="SK145" s="119"/>
      <c r="SL145" s="119"/>
      <c r="SM145" s="119"/>
      <c r="SN145" s="119"/>
      <c r="SO145" s="119"/>
      <c r="SP145" s="119"/>
      <c r="SQ145" s="119"/>
      <c r="SR145" s="119"/>
      <c r="SS145" s="119"/>
      <c r="ST145" s="119"/>
      <c r="SU145" s="119"/>
      <c r="SV145" s="119"/>
      <c r="SW145" s="119"/>
      <c r="SX145" s="119"/>
      <c r="SY145" s="119"/>
      <c r="SZ145" s="119"/>
      <c r="TA145" s="119"/>
      <c r="TB145" s="119"/>
      <c r="TC145" s="119"/>
      <c r="TD145" s="119"/>
      <c r="TE145" s="119"/>
      <c r="TF145" s="119"/>
      <c r="TG145" s="119"/>
      <c r="TH145" s="119"/>
      <c r="TI145" s="119"/>
      <c r="TJ145" s="119"/>
      <c r="TK145" s="119"/>
      <c r="TL145" s="119"/>
      <c r="TM145" s="119"/>
      <c r="TN145" s="119"/>
      <c r="TO145" s="119"/>
      <c r="TP145" s="119"/>
      <c r="TQ145" s="119"/>
      <c r="TR145" s="119"/>
      <c r="TS145" s="119"/>
      <c r="TT145" s="119"/>
      <c r="TU145" s="119"/>
      <c r="TV145" s="119"/>
      <c r="TW145" s="119"/>
      <c r="TX145" s="119"/>
      <c r="TY145" s="119"/>
      <c r="TZ145" s="119"/>
      <c r="UA145" s="119"/>
      <c r="UB145" s="119"/>
      <c r="UC145" s="119"/>
      <c r="UD145" s="119"/>
      <c r="UE145" s="119"/>
      <c r="UF145" s="119"/>
      <c r="UG145" s="119"/>
      <c r="UH145" s="119"/>
      <c r="UI145" s="119"/>
      <c r="UJ145" s="119"/>
      <c r="UK145" s="119"/>
      <c r="UL145" s="119"/>
      <c r="UM145" s="119"/>
      <c r="UN145" s="119"/>
      <c r="UO145" s="119"/>
      <c r="UP145" s="119"/>
      <c r="UQ145" s="119"/>
      <c r="UR145" s="119"/>
      <c r="US145" s="119"/>
      <c r="UT145" s="119"/>
      <c r="UU145" s="119"/>
      <c r="UV145" s="119"/>
      <c r="UW145" s="119"/>
      <c r="UX145" s="119"/>
      <c r="UY145" s="119"/>
      <c r="UZ145" s="119"/>
      <c r="VA145" s="119"/>
      <c r="VB145" s="119"/>
      <c r="VC145" s="119"/>
      <c r="VD145" s="119"/>
      <c r="VE145" s="119"/>
      <c r="VF145" s="119"/>
      <c r="VG145" s="119"/>
      <c r="VH145" s="119"/>
      <c r="VI145" s="119"/>
      <c r="VJ145" s="119"/>
      <c r="VK145" s="119"/>
      <c r="VL145" s="119"/>
      <c r="VM145" s="119"/>
      <c r="VN145" s="119"/>
      <c r="VO145" s="119"/>
      <c r="VP145" s="119"/>
      <c r="VQ145" s="119"/>
      <c r="VR145" s="119"/>
      <c r="VS145" s="119"/>
      <c r="VT145" s="119"/>
      <c r="VU145" s="119"/>
      <c r="VV145" s="119"/>
      <c r="VW145" s="119"/>
      <c r="VX145" s="119"/>
      <c r="VY145" s="119"/>
      <c r="VZ145" s="119"/>
      <c r="WA145" s="119"/>
      <c r="WB145" s="119"/>
      <c r="WC145" s="119"/>
      <c r="WD145" s="119"/>
      <c r="WE145" s="119"/>
      <c r="WF145" s="119"/>
      <c r="WG145" s="119"/>
      <c r="WH145" s="119"/>
      <c r="WI145" s="119"/>
      <c r="WJ145" s="119"/>
      <c r="WK145" s="119"/>
      <c r="WL145" s="119"/>
      <c r="WM145" s="119"/>
      <c r="WN145" s="119"/>
      <c r="WO145" s="119"/>
      <c r="WP145" s="119"/>
      <c r="WQ145" s="119"/>
      <c r="WR145" s="119"/>
      <c r="WS145" s="119"/>
      <c r="WT145" s="119"/>
      <c r="WU145" s="119"/>
      <c r="WV145" s="119"/>
      <c r="WW145" s="119"/>
      <c r="WX145" s="119"/>
      <c r="WY145" s="119"/>
      <c r="WZ145" s="119"/>
      <c r="XA145" s="119"/>
      <c r="XB145" s="119"/>
      <c r="XC145" s="119"/>
      <c r="XD145" s="119"/>
      <c r="XE145" s="119"/>
      <c r="XF145" s="119"/>
      <c r="XG145" s="119"/>
      <c r="XH145" s="119"/>
      <c r="XI145" s="119"/>
      <c r="XJ145" s="119"/>
      <c r="XK145" s="119"/>
      <c r="XL145" s="119"/>
      <c r="XM145" s="119"/>
      <c r="XN145" s="119"/>
      <c r="XO145" s="119"/>
      <c r="XP145" s="119"/>
      <c r="XQ145" s="119"/>
      <c r="XR145" s="119"/>
      <c r="XS145" s="119"/>
      <c r="XT145" s="119"/>
      <c r="XU145" s="119"/>
      <c r="XV145" s="119"/>
      <c r="XW145" s="119"/>
      <c r="XX145" s="119"/>
      <c r="XY145" s="119"/>
      <c r="XZ145" s="119"/>
      <c r="YA145" s="119"/>
      <c r="YB145" s="119"/>
      <c r="YC145" s="119"/>
      <c r="YD145" s="119"/>
      <c r="YE145" s="119"/>
      <c r="YF145" s="119"/>
      <c r="YG145" s="119"/>
      <c r="YH145" s="119"/>
      <c r="YI145" s="119"/>
      <c r="YJ145" s="119"/>
      <c r="YK145" s="119"/>
      <c r="YL145" s="119"/>
      <c r="YM145" s="119"/>
      <c r="YN145" s="119"/>
      <c r="YO145" s="119"/>
      <c r="YP145" s="119"/>
      <c r="YQ145" s="119"/>
      <c r="YR145" s="119"/>
      <c r="YS145" s="119"/>
      <c r="YT145" s="119"/>
      <c r="YU145" s="119"/>
      <c r="YV145" s="119"/>
      <c r="YW145" s="119"/>
      <c r="YX145" s="119"/>
      <c r="YY145" s="119"/>
      <c r="YZ145" s="119"/>
      <c r="ZA145" s="119"/>
      <c r="ZB145" s="119"/>
      <c r="ZC145" s="119"/>
      <c r="ZD145" s="119"/>
      <c r="ZE145" s="119"/>
      <c r="ZF145" s="119"/>
      <c r="ZG145" s="119"/>
      <c r="ZH145" s="119"/>
      <c r="ZI145" s="119"/>
      <c r="ZJ145" s="119"/>
      <c r="ZK145" s="119"/>
      <c r="ZL145" s="119"/>
      <c r="ZM145" s="119"/>
      <c r="ZN145" s="119"/>
      <c r="ZO145" s="119"/>
      <c r="ZP145" s="119"/>
      <c r="ZQ145" s="119"/>
      <c r="ZR145" s="119"/>
      <c r="ZS145" s="119"/>
      <c r="ZT145" s="119"/>
      <c r="ZU145" s="119"/>
      <c r="ZV145" s="119"/>
      <c r="ZW145" s="119"/>
      <c r="ZX145" s="119"/>
      <c r="ZY145" s="119"/>
      <c r="ZZ145" s="119"/>
      <c r="AAA145" s="119"/>
      <c r="AAB145" s="119"/>
      <c r="AAC145" s="119"/>
      <c r="AAD145" s="119"/>
      <c r="AAE145" s="119"/>
      <c r="AAF145" s="119"/>
      <c r="AAG145" s="119"/>
      <c r="AAH145" s="119"/>
      <c r="AAI145" s="119"/>
      <c r="AAJ145" s="119"/>
      <c r="AAK145" s="119"/>
      <c r="AAL145" s="119"/>
      <c r="AAM145" s="119"/>
      <c r="AAN145" s="119"/>
      <c r="AAO145" s="119"/>
      <c r="AAP145" s="119"/>
      <c r="AAQ145" s="119"/>
      <c r="AAR145" s="119"/>
      <c r="AAS145" s="119"/>
      <c r="AAT145" s="119"/>
      <c r="AAU145" s="119"/>
      <c r="AAV145" s="119"/>
      <c r="AAW145" s="119"/>
      <c r="AAX145" s="119"/>
      <c r="AAY145" s="119"/>
      <c r="AAZ145" s="119"/>
      <c r="ABA145" s="119"/>
      <c r="ABB145" s="119"/>
      <c r="ABC145" s="119"/>
      <c r="ABD145" s="119"/>
      <c r="ABE145" s="119"/>
      <c r="ABF145" s="119"/>
      <c r="ABG145" s="119"/>
      <c r="ABH145" s="119"/>
      <c r="ABI145" s="119"/>
      <c r="ABJ145" s="119"/>
      <c r="ABK145" s="119"/>
      <c r="ABL145" s="119"/>
      <c r="ABM145" s="119"/>
      <c r="ABN145" s="119"/>
      <c r="ABO145" s="119"/>
      <c r="ABP145" s="119"/>
      <c r="ABQ145" s="119"/>
      <c r="ABR145" s="119"/>
      <c r="ABS145" s="119"/>
      <c r="ABT145" s="119"/>
      <c r="ABU145" s="119"/>
      <c r="ABV145" s="119"/>
      <c r="ABW145" s="119"/>
      <c r="ABX145" s="119"/>
      <c r="ABY145" s="119"/>
      <c r="ABZ145" s="119"/>
      <c r="ACA145" s="119"/>
      <c r="ACB145" s="119"/>
      <c r="ACC145" s="119"/>
      <c r="ACD145" s="119"/>
      <c r="ACE145" s="119"/>
      <c r="ACF145" s="119"/>
      <c r="ACG145" s="119"/>
      <c r="ACH145" s="119"/>
      <c r="ACI145" s="119"/>
      <c r="ACJ145" s="119"/>
      <c r="ACK145" s="119"/>
      <c r="ACL145" s="119"/>
      <c r="ACM145" s="119"/>
      <c r="ACN145" s="119"/>
      <c r="ACO145" s="119"/>
      <c r="ACP145" s="119"/>
      <c r="ACQ145" s="119"/>
    </row>
    <row r="146" spans="1:771" s="115" customFormat="1" ht="102">
      <c r="A146" s="83"/>
      <c r="B146" s="109" t="s">
        <v>649</v>
      </c>
      <c r="C146" s="110"/>
      <c r="D146" s="109" t="s">
        <v>71</v>
      </c>
      <c r="E146" s="110"/>
      <c r="F146" s="109" t="s">
        <v>282</v>
      </c>
      <c r="G146" s="110"/>
      <c r="H146" s="109" t="s">
        <v>116</v>
      </c>
      <c r="I146" s="110"/>
      <c r="J146" s="109" t="s">
        <v>411</v>
      </c>
      <c r="K146" s="110"/>
      <c r="L146" s="61" t="s">
        <v>74</v>
      </c>
      <c r="M146" s="110"/>
      <c r="N146" s="109" t="s">
        <v>103</v>
      </c>
      <c r="O146" s="110"/>
      <c r="P146" s="109" t="s">
        <v>650</v>
      </c>
      <c r="Q146" s="110"/>
      <c r="R146" s="109" t="s">
        <v>77</v>
      </c>
      <c r="S146" s="110"/>
      <c r="T146" s="112" t="s">
        <v>651</v>
      </c>
      <c r="U146" s="113"/>
      <c r="V146" s="67" t="s">
        <v>79</v>
      </c>
      <c r="W146" s="123"/>
      <c r="X146" s="67" t="s">
        <v>80</v>
      </c>
      <c r="Y146" s="123"/>
      <c r="Z146" s="67" t="s">
        <v>79</v>
      </c>
      <c r="AA146" s="123"/>
      <c r="AB146" s="109" t="s">
        <v>276</v>
      </c>
      <c r="AD146" s="109" t="s">
        <v>652</v>
      </c>
      <c r="AE146" s="83"/>
      <c r="AF146" s="83"/>
      <c r="AG146" s="83"/>
      <c r="AH146" s="83"/>
      <c r="AI146" s="83"/>
      <c r="AJ146" s="83"/>
      <c r="AK146" s="83"/>
      <c r="AL146" s="83"/>
      <c r="AM146" s="83"/>
      <c r="AN146" s="83"/>
      <c r="AO146" s="83"/>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119"/>
      <c r="FC146" s="119"/>
      <c r="FD146" s="119"/>
      <c r="FE146" s="119"/>
      <c r="FF146" s="119"/>
      <c r="FG146" s="119"/>
      <c r="FH146" s="119"/>
      <c r="FI146" s="119"/>
      <c r="FJ146" s="119"/>
      <c r="FK146" s="119"/>
      <c r="FL146" s="119"/>
      <c r="FM146" s="119"/>
      <c r="FN146" s="119"/>
      <c r="FO146" s="119"/>
      <c r="FP146" s="119"/>
      <c r="FQ146" s="119"/>
      <c r="FR146" s="119"/>
      <c r="FS146" s="119"/>
      <c r="FT146" s="119"/>
      <c r="FU146" s="119"/>
      <c r="FV146" s="119"/>
      <c r="FW146" s="119"/>
      <c r="FX146" s="119"/>
      <c r="FY146" s="119"/>
      <c r="FZ146" s="119"/>
      <c r="GA146" s="119"/>
      <c r="GB146" s="119"/>
      <c r="GC146" s="119"/>
      <c r="GD146" s="119"/>
      <c r="GE146" s="119"/>
      <c r="GF146" s="119"/>
      <c r="GG146" s="119"/>
      <c r="GH146" s="119"/>
      <c r="GI146" s="119"/>
      <c r="GJ146" s="119"/>
      <c r="GK146" s="119"/>
      <c r="GL146" s="119"/>
      <c r="GM146" s="119"/>
      <c r="GN146" s="119"/>
      <c r="GO146" s="119"/>
      <c r="GP146" s="119"/>
      <c r="GQ146" s="119"/>
      <c r="GR146" s="119"/>
      <c r="GS146" s="119"/>
      <c r="GT146" s="119"/>
      <c r="GU146" s="119"/>
      <c r="GV146" s="119"/>
      <c r="GW146" s="119"/>
      <c r="GX146" s="119"/>
      <c r="GY146" s="119"/>
      <c r="GZ146" s="119"/>
      <c r="HA146" s="119"/>
      <c r="HB146" s="119"/>
      <c r="HC146" s="119"/>
      <c r="HD146" s="119"/>
      <c r="HE146" s="119"/>
      <c r="HF146" s="119"/>
      <c r="HG146" s="119"/>
      <c r="HH146" s="119"/>
      <c r="HI146" s="119"/>
      <c r="HJ146" s="119"/>
      <c r="HK146" s="119"/>
      <c r="HL146" s="119"/>
      <c r="HM146" s="119"/>
      <c r="HN146" s="119"/>
      <c r="HO146" s="119"/>
      <c r="HP146" s="119"/>
      <c r="HQ146" s="119"/>
      <c r="HR146" s="119"/>
      <c r="HS146" s="119"/>
      <c r="HT146" s="119"/>
      <c r="HU146" s="119"/>
      <c r="HV146" s="119"/>
      <c r="HW146" s="119"/>
      <c r="HX146" s="119"/>
      <c r="HY146" s="119"/>
      <c r="HZ146" s="119"/>
      <c r="IA146" s="119"/>
      <c r="IB146" s="119"/>
      <c r="IC146" s="119"/>
      <c r="ID146" s="119"/>
      <c r="IE146" s="119"/>
      <c r="IF146" s="119"/>
      <c r="IG146" s="119"/>
      <c r="IH146" s="119"/>
      <c r="II146" s="119"/>
      <c r="IJ146" s="119"/>
      <c r="IK146" s="119"/>
      <c r="IL146" s="119"/>
      <c r="IM146" s="119"/>
      <c r="IN146" s="119"/>
      <c r="IO146" s="119"/>
      <c r="IP146" s="119"/>
      <c r="IQ146" s="119"/>
      <c r="IR146" s="119"/>
      <c r="IS146" s="119"/>
      <c r="IT146" s="119"/>
      <c r="IU146" s="119"/>
      <c r="IV146" s="119"/>
      <c r="IW146" s="119"/>
      <c r="IX146" s="119"/>
      <c r="IY146" s="119"/>
      <c r="IZ146" s="119"/>
      <c r="JA146" s="119"/>
      <c r="JB146" s="119"/>
      <c r="JC146" s="119"/>
      <c r="JD146" s="119"/>
      <c r="JE146" s="119"/>
      <c r="JF146" s="119"/>
      <c r="JG146" s="119"/>
      <c r="JH146" s="119"/>
      <c r="JI146" s="119"/>
      <c r="JJ146" s="119"/>
      <c r="JK146" s="119"/>
      <c r="JL146" s="119"/>
      <c r="JM146" s="119"/>
      <c r="JN146" s="119"/>
      <c r="JO146" s="119"/>
      <c r="JP146" s="119"/>
      <c r="JQ146" s="119"/>
      <c r="JR146" s="119"/>
      <c r="JS146" s="119"/>
      <c r="JT146" s="119"/>
      <c r="JU146" s="119"/>
      <c r="JV146" s="119"/>
      <c r="JW146" s="119"/>
      <c r="JX146" s="119"/>
      <c r="JY146" s="119"/>
      <c r="JZ146" s="119"/>
      <c r="KA146" s="119"/>
      <c r="KB146" s="119"/>
      <c r="KC146" s="119"/>
      <c r="KD146" s="119"/>
      <c r="KE146" s="119"/>
      <c r="KF146" s="119"/>
      <c r="KG146" s="119"/>
      <c r="KH146" s="119"/>
      <c r="KI146" s="119"/>
      <c r="KJ146" s="119"/>
      <c r="KK146" s="119"/>
      <c r="KL146" s="119"/>
      <c r="KM146" s="119"/>
      <c r="KN146" s="119"/>
      <c r="KO146" s="119"/>
      <c r="KP146" s="119"/>
      <c r="KQ146" s="119"/>
      <c r="KR146" s="119"/>
      <c r="KS146" s="119"/>
      <c r="KT146" s="119"/>
      <c r="KU146" s="119"/>
      <c r="KV146" s="119"/>
      <c r="KW146" s="119"/>
      <c r="KX146" s="119"/>
      <c r="KY146" s="119"/>
      <c r="KZ146" s="119"/>
      <c r="LA146" s="119"/>
      <c r="LB146" s="119"/>
      <c r="LC146" s="119"/>
      <c r="LD146" s="119"/>
      <c r="LE146" s="119"/>
      <c r="LF146" s="119"/>
      <c r="LG146" s="119"/>
      <c r="LH146" s="119"/>
      <c r="LI146" s="119"/>
      <c r="LJ146" s="119"/>
      <c r="LK146" s="119"/>
      <c r="LL146" s="119"/>
      <c r="LM146" s="119"/>
      <c r="LN146" s="119"/>
      <c r="LO146" s="119"/>
      <c r="LP146" s="119"/>
      <c r="LQ146" s="119"/>
      <c r="LR146" s="119"/>
      <c r="LS146" s="119"/>
      <c r="LT146" s="119"/>
      <c r="LU146" s="119"/>
      <c r="LV146" s="119"/>
      <c r="LW146" s="119"/>
      <c r="LX146" s="119"/>
      <c r="LY146" s="119"/>
      <c r="LZ146" s="119"/>
      <c r="MA146" s="119"/>
      <c r="MB146" s="119"/>
      <c r="MC146" s="119"/>
      <c r="MD146" s="119"/>
      <c r="ME146" s="119"/>
      <c r="MF146" s="119"/>
      <c r="MG146" s="119"/>
      <c r="MH146" s="119"/>
      <c r="MI146" s="119"/>
      <c r="MJ146" s="119"/>
      <c r="MK146" s="119"/>
      <c r="ML146" s="119"/>
      <c r="MM146" s="119"/>
      <c r="MN146" s="119"/>
      <c r="MO146" s="119"/>
      <c r="MP146" s="119"/>
      <c r="MQ146" s="119"/>
      <c r="MR146" s="119"/>
      <c r="MS146" s="119"/>
      <c r="MT146" s="119"/>
      <c r="MU146" s="119"/>
      <c r="MV146" s="119"/>
      <c r="MW146" s="119"/>
      <c r="MX146" s="119"/>
      <c r="MY146" s="119"/>
      <c r="MZ146" s="119"/>
      <c r="NA146" s="119"/>
      <c r="NB146" s="119"/>
      <c r="NC146" s="119"/>
      <c r="ND146" s="119"/>
      <c r="NE146" s="119"/>
      <c r="NF146" s="119"/>
      <c r="NG146" s="119"/>
      <c r="NH146" s="119"/>
      <c r="NI146" s="119"/>
      <c r="NJ146" s="119"/>
      <c r="NK146" s="119"/>
      <c r="NL146" s="119"/>
      <c r="NM146" s="119"/>
      <c r="NN146" s="119"/>
      <c r="NO146" s="119"/>
      <c r="NP146" s="119"/>
      <c r="NQ146" s="119"/>
      <c r="NR146" s="119"/>
      <c r="NS146" s="119"/>
      <c r="NT146" s="119"/>
      <c r="NU146" s="119"/>
      <c r="NV146" s="119"/>
      <c r="NW146" s="119"/>
      <c r="NX146" s="119"/>
      <c r="NY146" s="119"/>
      <c r="NZ146" s="119"/>
      <c r="OA146" s="119"/>
      <c r="OB146" s="119"/>
      <c r="OC146" s="119"/>
      <c r="OD146" s="119"/>
      <c r="OE146" s="119"/>
      <c r="OF146" s="119"/>
      <c r="OG146" s="119"/>
      <c r="OH146" s="119"/>
      <c r="OI146" s="119"/>
      <c r="OJ146" s="119"/>
      <c r="OK146" s="119"/>
      <c r="OL146" s="119"/>
      <c r="OM146" s="119"/>
      <c r="ON146" s="119"/>
      <c r="OO146" s="119"/>
      <c r="OP146" s="119"/>
      <c r="OQ146" s="119"/>
      <c r="OR146" s="119"/>
      <c r="OS146" s="119"/>
      <c r="OT146" s="119"/>
      <c r="OU146" s="119"/>
      <c r="OV146" s="119"/>
      <c r="OW146" s="119"/>
      <c r="OX146" s="119"/>
      <c r="OY146" s="119"/>
      <c r="OZ146" s="119"/>
      <c r="PA146" s="119"/>
      <c r="PB146" s="119"/>
      <c r="PC146" s="119"/>
      <c r="PD146" s="119"/>
      <c r="PE146" s="119"/>
      <c r="PF146" s="119"/>
      <c r="PG146" s="119"/>
      <c r="PH146" s="119"/>
      <c r="PI146" s="119"/>
      <c r="PJ146" s="119"/>
      <c r="PK146" s="119"/>
      <c r="PL146" s="119"/>
      <c r="PM146" s="119"/>
      <c r="PN146" s="119"/>
      <c r="PO146" s="119"/>
      <c r="PP146" s="119"/>
      <c r="PQ146" s="119"/>
      <c r="PR146" s="119"/>
      <c r="PS146" s="119"/>
      <c r="PT146" s="119"/>
      <c r="PU146" s="119"/>
      <c r="PV146" s="119"/>
      <c r="PW146" s="119"/>
      <c r="PX146" s="119"/>
      <c r="PY146" s="119"/>
      <c r="PZ146" s="119"/>
      <c r="QA146" s="119"/>
      <c r="QB146" s="119"/>
      <c r="QC146" s="119"/>
      <c r="QD146" s="119"/>
      <c r="QE146" s="119"/>
      <c r="QF146" s="119"/>
      <c r="QG146" s="119"/>
      <c r="QH146" s="119"/>
      <c r="QI146" s="119"/>
      <c r="QJ146" s="119"/>
      <c r="QK146" s="119"/>
      <c r="QL146" s="119"/>
      <c r="QM146" s="119"/>
      <c r="QN146" s="119"/>
      <c r="QO146" s="119"/>
      <c r="QP146" s="119"/>
      <c r="QQ146" s="119"/>
      <c r="QR146" s="119"/>
      <c r="QS146" s="119"/>
      <c r="QT146" s="119"/>
      <c r="QU146" s="119"/>
      <c r="QV146" s="119"/>
      <c r="QW146" s="119"/>
      <c r="QX146" s="119"/>
      <c r="QY146" s="119"/>
      <c r="QZ146" s="119"/>
      <c r="RA146" s="119"/>
      <c r="RB146" s="119"/>
      <c r="RC146" s="119"/>
      <c r="RD146" s="119"/>
      <c r="RE146" s="119"/>
      <c r="RF146" s="119"/>
      <c r="RG146" s="119"/>
      <c r="RH146" s="119"/>
      <c r="RI146" s="119"/>
      <c r="RJ146" s="119"/>
      <c r="RK146" s="119"/>
      <c r="RL146" s="119"/>
      <c r="RM146" s="119"/>
      <c r="RN146" s="119"/>
      <c r="RO146" s="119"/>
      <c r="RP146" s="119"/>
      <c r="RQ146" s="119"/>
      <c r="RR146" s="119"/>
      <c r="RS146" s="119"/>
      <c r="RT146" s="119"/>
      <c r="RU146" s="119"/>
      <c r="RV146" s="119"/>
      <c r="RW146" s="119"/>
      <c r="RX146" s="119"/>
      <c r="RY146" s="119"/>
      <c r="RZ146" s="119"/>
      <c r="SA146" s="119"/>
      <c r="SB146" s="119"/>
      <c r="SC146" s="119"/>
      <c r="SD146" s="119"/>
      <c r="SE146" s="119"/>
      <c r="SF146" s="119"/>
      <c r="SG146" s="119"/>
      <c r="SH146" s="119"/>
      <c r="SI146" s="119"/>
      <c r="SJ146" s="119"/>
      <c r="SK146" s="119"/>
      <c r="SL146" s="119"/>
      <c r="SM146" s="119"/>
      <c r="SN146" s="119"/>
      <c r="SO146" s="119"/>
      <c r="SP146" s="119"/>
      <c r="SQ146" s="119"/>
      <c r="SR146" s="119"/>
      <c r="SS146" s="119"/>
      <c r="ST146" s="119"/>
      <c r="SU146" s="119"/>
      <c r="SV146" s="119"/>
      <c r="SW146" s="119"/>
      <c r="SX146" s="119"/>
      <c r="SY146" s="119"/>
      <c r="SZ146" s="119"/>
      <c r="TA146" s="119"/>
      <c r="TB146" s="119"/>
      <c r="TC146" s="119"/>
      <c r="TD146" s="119"/>
      <c r="TE146" s="119"/>
      <c r="TF146" s="119"/>
      <c r="TG146" s="119"/>
      <c r="TH146" s="119"/>
      <c r="TI146" s="119"/>
      <c r="TJ146" s="119"/>
      <c r="TK146" s="119"/>
      <c r="TL146" s="119"/>
      <c r="TM146" s="119"/>
      <c r="TN146" s="119"/>
      <c r="TO146" s="119"/>
      <c r="TP146" s="119"/>
      <c r="TQ146" s="119"/>
      <c r="TR146" s="119"/>
      <c r="TS146" s="119"/>
      <c r="TT146" s="119"/>
      <c r="TU146" s="119"/>
      <c r="TV146" s="119"/>
      <c r="TW146" s="119"/>
      <c r="TX146" s="119"/>
      <c r="TY146" s="119"/>
      <c r="TZ146" s="119"/>
      <c r="UA146" s="119"/>
      <c r="UB146" s="119"/>
      <c r="UC146" s="119"/>
      <c r="UD146" s="119"/>
      <c r="UE146" s="119"/>
      <c r="UF146" s="119"/>
      <c r="UG146" s="119"/>
      <c r="UH146" s="119"/>
      <c r="UI146" s="119"/>
      <c r="UJ146" s="119"/>
      <c r="UK146" s="119"/>
      <c r="UL146" s="119"/>
      <c r="UM146" s="119"/>
      <c r="UN146" s="119"/>
      <c r="UO146" s="119"/>
      <c r="UP146" s="119"/>
      <c r="UQ146" s="119"/>
      <c r="UR146" s="119"/>
      <c r="US146" s="119"/>
      <c r="UT146" s="119"/>
      <c r="UU146" s="119"/>
      <c r="UV146" s="119"/>
      <c r="UW146" s="119"/>
      <c r="UX146" s="119"/>
      <c r="UY146" s="119"/>
      <c r="UZ146" s="119"/>
      <c r="VA146" s="119"/>
      <c r="VB146" s="119"/>
      <c r="VC146" s="119"/>
      <c r="VD146" s="119"/>
      <c r="VE146" s="119"/>
      <c r="VF146" s="119"/>
      <c r="VG146" s="119"/>
      <c r="VH146" s="119"/>
      <c r="VI146" s="119"/>
      <c r="VJ146" s="119"/>
      <c r="VK146" s="119"/>
      <c r="VL146" s="119"/>
      <c r="VM146" s="119"/>
      <c r="VN146" s="119"/>
      <c r="VO146" s="119"/>
      <c r="VP146" s="119"/>
      <c r="VQ146" s="119"/>
      <c r="VR146" s="119"/>
      <c r="VS146" s="119"/>
      <c r="VT146" s="119"/>
      <c r="VU146" s="119"/>
      <c r="VV146" s="119"/>
      <c r="VW146" s="119"/>
      <c r="VX146" s="119"/>
      <c r="VY146" s="119"/>
      <c r="VZ146" s="119"/>
      <c r="WA146" s="119"/>
      <c r="WB146" s="119"/>
      <c r="WC146" s="119"/>
      <c r="WD146" s="119"/>
      <c r="WE146" s="119"/>
      <c r="WF146" s="119"/>
      <c r="WG146" s="119"/>
      <c r="WH146" s="119"/>
      <c r="WI146" s="119"/>
      <c r="WJ146" s="119"/>
      <c r="WK146" s="119"/>
      <c r="WL146" s="119"/>
      <c r="WM146" s="119"/>
      <c r="WN146" s="119"/>
      <c r="WO146" s="119"/>
      <c r="WP146" s="119"/>
      <c r="WQ146" s="119"/>
      <c r="WR146" s="119"/>
      <c r="WS146" s="119"/>
      <c r="WT146" s="119"/>
      <c r="WU146" s="119"/>
      <c r="WV146" s="119"/>
      <c r="WW146" s="119"/>
      <c r="WX146" s="119"/>
      <c r="WY146" s="119"/>
      <c r="WZ146" s="119"/>
      <c r="XA146" s="119"/>
      <c r="XB146" s="119"/>
      <c r="XC146" s="119"/>
      <c r="XD146" s="119"/>
      <c r="XE146" s="119"/>
      <c r="XF146" s="119"/>
      <c r="XG146" s="119"/>
      <c r="XH146" s="119"/>
      <c r="XI146" s="119"/>
      <c r="XJ146" s="119"/>
      <c r="XK146" s="119"/>
      <c r="XL146" s="119"/>
      <c r="XM146" s="119"/>
      <c r="XN146" s="119"/>
      <c r="XO146" s="119"/>
      <c r="XP146" s="119"/>
      <c r="XQ146" s="119"/>
      <c r="XR146" s="119"/>
      <c r="XS146" s="119"/>
      <c r="XT146" s="119"/>
      <c r="XU146" s="119"/>
      <c r="XV146" s="119"/>
      <c r="XW146" s="119"/>
      <c r="XX146" s="119"/>
      <c r="XY146" s="119"/>
      <c r="XZ146" s="119"/>
      <c r="YA146" s="119"/>
      <c r="YB146" s="119"/>
      <c r="YC146" s="119"/>
      <c r="YD146" s="119"/>
      <c r="YE146" s="119"/>
      <c r="YF146" s="119"/>
      <c r="YG146" s="119"/>
      <c r="YH146" s="119"/>
      <c r="YI146" s="119"/>
      <c r="YJ146" s="119"/>
      <c r="YK146" s="119"/>
      <c r="YL146" s="119"/>
      <c r="YM146" s="119"/>
      <c r="YN146" s="119"/>
      <c r="YO146" s="119"/>
      <c r="YP146" s="119"/>
      <c r="YQ146" s="119"/>
      <c r="YR146" s="119"/>
      <c r="YS146" s="119"/>
      <c r="YT146" s="119"/>
      <c r="YU146" s="119"/>
      <c r="YV146" s="119"/>
      <c r="YW146" s="119"/>
      <c r="YX146" s="119"/>
      <c r="YY146" s="119"/>
      <c r="YZ146" s="119"/>
      <c r="ZA146" s="119"/>
      <c r="ZB146" s="119"/>
      <c r="ZC146" s="119"/>
      <c r="ZD146" s="119"/>
      <c r="ZE146" s="119"/>
      <c r="ZF146" s="119"/>
      <c r="ZG146" s="119"/>
      <c r="ZH146" s="119"/>
      <c r="ZI146" s="119"/>
      <c r="ZJ146" s="119"/>
      <c r="ZK146" s="119"/>
      <c r="ZL146" s="119"/>
      <c r="ZM146" s="119"/>
      <c r="ZN146" s="119"/>
      <c r="ZO146" s="119"/>
      <c r="ZP146" s="119"/>
      <c r="ZQ146" s="119"/>
      <c r="ZR146" s="119"/>
      <c r="ZS146" s="119"/>
      <c r="ZT146" s="119"/>
      <c r="ZU146" s="119"/>
      <c r="ZV146" s="119"/>
      <c r="ZW146" s="119"/>
      <c r="ZX146" s="119"/>
      <c r="ZY146" s="119"/>
      <c r="ZZ146" s="119"/>
      <c r="AAA146" s="119"/>
      <c r="AAB146" s="119"/>
      <c r="AAC146" s="119"/>
      <c r="AAD146" s="119"/>
      <c r="AAE146" s="119"/>
      <c r="AAF146" s="119"/>
      <c r="AAG146" s="119"/>
      <c r="AAH146" s="119"/>
      <c r="AAI146" s="119"/>
      <c r="AAJ146" s="119"/>
      <c r="AAK146" s="119"/>
      <c r="AAL146" s="119"/>
      <c r="AAM146" s="119"/>
      <c r="AAN146" s="119"/>
      <c r="AAO146" s="119"/>
      <c r="AAP146" s="119"/>
      <c r="AAQ146" s="119"/>
      <c r="AAR146" s="119"/>
      <c r="AAS146" s="119"/>
      <c r="AAT146" s="119"/>
      <c r="AAU146" s="119"/>
      <c r="AAV146" s="119"/>
      <c r="AAW146" s="119"/>
      <c r="AAX146" s="119"/>
      <c r="AAY146" s="119"/>
      <c r="AAZ146" s="119"/>
      <c r="ABA146" s="119"/>
      <c r="ABB146" s="119"/>
      <c r="ABC146" s="119"/>
      <c r="ABD146" s="119"/>
      <c r="ABE146" s="119"/>
      <c r="ABF146" s="119"/>
      <c r="ABG146" s="119"/>
      <c r="ABH146" s="119"/>
      <c r="ABI146" s="119"/>
      <c r="ABJ146" s="119"/>
      <c r="ABK146" s="119"/>
      <c r="ABL146" s="119"/>
      <c r="ABM146" s="119"/>
      <c r="ABN146" s="119"/>
      <c r="ABO146" s="119"/>
      <c r="ABP146" s="119"/>
      <c r="ABQ146" s="119"/>
      <c r="ABR146" s="119"/>
      <c r="ABS146" s="119"/>
      <c r="ABT146" s="119"/>
      <c r="ABU146" s="119"/>
      <c r="ABV146" s="119"/>
      <c r="ABW146" s="119"/>
      <c r="ABX146" s="119"/>
      <c r="ABY146" s="119"/>
      <c r="ABZ146" s="119"/>
      <c r="ACA146" s="119"/>
      <c r="ACB146" s="119"/>
      <c r="ACC146" s="119"/>
      <c r="ACD146" s="119"/>
      <c r="ACE146" s="119"/>
      <c r="ACF146" s="119"/>
      <c r="ACG146" s="119"/>
      <c r="ACH146" s="119"/>
      <c r="ACI146" s="119"/>
      <c r="ACJ146" s="119"/>
      <c r="ACK146" s="119"/>
      <c r="ACL146" s="119"/>
      <c r="ACM146" s="119"/>
      <c r="ACN146" s="119"/>
      <c r="ACO146" s="119"/>
      <c r="ACP146" s="119"/>
      <c r="ACQ146" s="119"/>
    </row>
    <row r="147" spans="1:771" s="115" customFormat="1" ht="68.099999999999994">
      <c r="A147" s="83"/>
      <c r="B147" s="109" t="s">
        <v>653</v>
      </c>
      <c r="C147" s="110"/>
      <c r="D147" s="109" t="s">
        <v>71</v>
      </c>
      <c r="E147" s="110"/>
      <c r="F147" s="109" t="s">
        <v>282</v>
      </c>
      <c r="G147" s="110"/>
      <c r="H147" s="109" t="s">
        <v>654</v>
      </c>
      <c r="I147" s="110"/>
      <c r="J147" s="109" t="s">
        <v>411</v>
      </c>
      <c r="K147" s="110"/>
      <c r="L147" s="61" t="s">
        <v>74</v>
      </c>
      <c r="M147" s="110"/>
      <c r="N147" s="109" t="s">
        <v>185</v>
      </c>
      <c r="O147" s="110"/>
      <c r="P147" s="109" t="s">
        <v>655</v>
      </c>
      <c r="Q147" s="110"/>
      <c r="R147" s="109" t="s">
        <v>77</v>
      </c>
      <c r="S147" s="110"/>
      <c r="T147" s="112" t="s">
        <v>647</v>
      </c>
      <c r="U147" s="113"/>
      <c r="V147" s="67" t="s">
        <v>79</v>
      </c>
      <c r="W147" s="123"/>
      <c r="X147" s="67" t="s">
        <v>80</v>
      </c>
      <c r="Y147" s="123"/>
      <c r="Z147" s="67" t="s">
        <v>79</v>
      </c>
      <c r="AA147" s="123"/>
      <c r="AB147" s="109" t="s">
        <v>276</v>
      </c>
      <c r="AD147" s="109" t="s">
        <v>656</v>
      </c>
      <c r="AE147" s="83"/>
      <c r="AF147" s="83"/>
      <c r="AG147" s="83"/>
      <c r="AH147" s="83"/>
      <c r="AI147" s="83"/>
      <c r="AJ147" s="83"/>
      <c r="AK147" s="83"/>
      <c r="AL147" s="83"/>
      <c r="AM147" s="83"/>
      <c r="AN147" s="83"/>
      <c r="AO147" s="83"/>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19"/>
      <c r="DL147" s="119"/>
      <c r="DM147" s="119"/>
      <c r="DN147" s="119"/>
      <c r="DO147" s="119"/>
      <c r="DP147" s="119"/>
      <c r="DQ147" s="119"/>
      <c r="DR147" s="119"/>
      <c r="DS147" s="119"/>
      <c r="DT147" s="119"/>
      <c r="DU147" s="119"/>
      <c r="DV147" s="119"/>
      <c r="DW147" s="119"/>
      <c r="DX147" s="119"/>
      <c r="DY147" s="119"/>
      <c r="DZ147" s="119"/>
      <c r="EA147" s="119"/>
      <c r="EB147" s="119"/>
      <c r="EC147" s="119"/>
      <c r="ED147" s="119"/>
      <c r="EE147" s="119"/>
      <c r="EF147" s="119"/>
      <c r="EG147" s="119"/>
      <c r="EH147" s="119"/>
      <c r="EI147" s="119"/>
      <c r="EJ147" s="119"/>
      <c r="EK147" s="119"/>
      <c r="EL147" s="119"/>
      <c r="EM147" s="119"/>
      <c r="EN147" s="119"/>
      <c r="EO147" s="119"/>
      <c r="EP147" s="119"/>
      <c r="EQ147" s="119"/>
      <c r="ER147" s="119"/>
      <c r="ES147" s="119"/>
      <c r="ET147" s="119"/>
      <c r="EU147" s="119"/>
      <c r="EV147" s="119"/>
      <c r="EW147" s="119"/>
      <c r="EX147" s="119"/>
      <c r="EY147" s="119"/>
      <c r="EZ147" s="119"/>
      <c r="FA147" s="119"/>
      <c r="FB147" s="119"/>
      <c r="FC147" s="119"/>
      <c r="FD147" s="119"/>
      <c r="FE147" s="119"/>
      <c r="FF147" s="119"/>
      <c r="FG147" s="119"/>
      <c r="FH147" s="119"/>
      <c r="FI147" s="119"/>
      <c r="FJ147" s="119"/>
      <c r="FK147" s="119"/>
      <c r="FL147" s="119"/>
      <c r="FM147" s="119"/>
      <c r="FN147" s="119"/>
      <c r="FO147" s="119"/>
      <c r="FP147" s="119"/>
      <c r="FQ147" s="119"/>
      <c r="FR147" s="119"/>
      <c r="FS147" s="119"/>
      <c r="FT147" s="119"/>
      <c r="FU147" s="119"/>
      <c r="FV147" s="119"/>
      <c r="FW147" s="119"/>
      <c r="FX147" s="119"/>
      <c r="FY147" s="119"/>
      <c r="FZ147" s="119"/>
      <c r="GA147" s="119"/>
      <c r="GB147" s="119"/>
      <c r="GC147" s="119"/>
      <c r="GD147" s="119"/>
      <c r="GE147" s="119"/>
      <c r="GF147" s="119"/>
      <c r="GG147" s="119"/>
      <c r="GH147" s="119"/>
      <c r="GI147" s="119"/>
      <c r="GJ147" s="119"/>
      <c r="GK147" s="119"/>
      <c r="GL147" s="119"/>
      <c r="GM147" s="119"/>
      <c r="GN147" s="119"/>
      <c r="GO147" s="119"/>
      <c r="GP147" s="119"/>
      <c r="GQ147" s="119"/>
      <c r="GR147" s="119"/>
      <c r="GS147" s="119"/>
      <c r="GT147" s="119"/>
      <c r="GU147" s="119"/>
      <c r="GV147" s="119"/>
      <c r="GW147" s="119"/>
      <c r="GX147" s="119"/>
      <c r="GY147" s="119"/>
      <c r="GZ147" s="119"/>
      <c r="HA147" s="119"/>
      <c r="HB147" s="119"/>
      <c r="HC147" s="119"/>
      <c r="HD147" s="119"/>
      <c r="HE147" s="119"/>
      <c r="HF147" s="119"/>
      <c r="HG147" s="119"/>
      <c r="HH147" s="119"/>
      <c r="HI147" s="119"/>
      <c r="HJ147" s="119"/>
      <c r="HK147" s="119"/>
      <c r="HL147" s="119"/>
      <c r="HM147" s="119"/>
      <c r="HN147" s="119"/>
      <c r="HO147" s="119"/>
      <c r="HP147" s="119"/>
      <c r="HQ147" s="119"/>
      <c r="HR147" s="119"/>
      <c r="HS147" s="119"/>
      <c r="HT147" s="119"/>
      <c r="HU147" s="119"/>
      <c r="HV147" s="119"/>
      <c r="HW147" s="119"/>
      <c r="HX147" s="119"/>
      <c r="HY147" s="119"/>
      <c r="HZ147" s="119"/>
      <c r="IA147" s="119"/>
      <c r="IB147" s="119"/>
      <c r="IC147" s="119"/>
      <c r="ID147" s="119"/>
      <c r="IE147" s="119"/>
      <c r="IF147" s="119"/>
      <c r="IG147" s="119"/>
      <c r="IH147" s="119"/>
      <c r="II147" s="119"/>
      <c r="IJ147" s="119"/>
      <c r="IK147" s="119"/>
      <c r="IL147" s="119"/>
      <c r="IM147" s="119"/>
      <c r="IN147" s="119"/>
      <c r="IO147" s="119"/>
      <c r="IP147" s="119"/>
      <c r="IQ147" s="119"/>
      <c r="IR147" s="119"/>
      <c r="IS147" s="119"/>
      <c r="IT147" s="119"/>
      <c r="IU147" s="119"/>
      <c r="IV147" s="119"/>
      <c r="IW147" s="119"/>
      <c r="IX147" s="119"/>
      <c r="IY147" s="119"/>
      <c r="IZ147" s="119"/>
      <c r="JA147" s="119"/>
      <c r="JB147" s="119"/>
      <c r="JC147" s="119"/>
      <c r="JD147" s="119"/>
      <c r="JE147" s="119"/>
      <c r="JF147" s="119"/>
      <c r="JG147" s="119"/>
      <c r="JH147" s="119"/>
      <c r="JI147" s="119"/>
      <c r="JJ147" s="119"/>
      <c r="JK147" s="119"/>
      <c r="JL147" s="119"/>
      <c r="JM147" s="119"/>
      <c r="JN147" s="119"/>
      <c r="JO147" s="119"/>
      <c r="JP147" s="119"/>
      <c r="JQ147" s="119"/>
      <c r="JR147" s="119"/>
      <c r="JS147" s="119"/>
      <c r="JT147" s="119"/>
      <c r="JU147" s="119"/>
      <c r="JV147" s="119"/>
      <c r="JW147" s="119"/>
      <c r="JX147" s="119"/>
      <c r="JY147" s="119"/>
      <c r="JZ147" s="119"/>
      <c r="KA147" s="119"/>
      <c r="KB147" s="119"/>
      <c r="KC147" s="119"/>
      <c r="KD147" s="119"/>
      <c r="KE147" s="119"/>
      <c r="KF147" s="119"/>
      <c r="KG147" s="119"/>
      <c r="KH147" s="119"/>
      <c r="KI147" s="119"/>
      <c r="KJ147" s="119"/>
      <c r="KK147" s="119"/>
      <c r="KL147" s="119"/>
      <c r="KM147" s="119"/>
      <c r="KN147" s="119"/>
      <c r="KO147" s="119"/>
      <c r="KP147" s="119"/>
      <c r="KQ147" s="119"/>
      <c r="KR147" s="119"/>
      <c r="KS147" s="119"/>
      <c r="KT147" s="119"/>
      <c r="KU147" s="119"/>
      <c r="KV147" s="119"/>
      <c r="KW147" s="119"/>
      <c r="KX147" s="119"/>
      <c r="KY147" s="119"/>
      <c r="KZ147" s="119"/>
      <c r="LA147" s="119"/>
      <c r="LB147" s="119"/>
      <c r="LC147" s="119"/>
      <c r="LD147" s="119"/>
      <c r="LE147" s="119"/>
      <c r="LF147" s="119"/>
      <c r="LG147" s="119"/>
      <c r="LH147" s="119"/>
      <c r="LI147" s="119"/>
      <c r="LJ147" s="119"/>
      <c r="LK147" s="119"/>
      <c r="LL147" s="119"/>
      <c r="LM147" s="119"/>
      <c r="LN147" s="119"/>
      <c r="LO147" s="119"/>
      <c r="LP147" s="119"/>
      <c r="LQ147" s="119"/>
      <c r="LR147" s="119"/>
      <c r="LS147" s="119"/>
      <c r="LT147" s="119"/>
      <c r="LU147" s="119"/>
      <c r="LV147" s="119"/>
      <c r="LW147" s="119"/>
      <c r="LX147" s="119"/>
      <c r="LY147" s="119"/>
      <c r="LZ147" s="119"/>
      <c r="MA147" s="119"/>
      <c r="MB147" s="119"/>
      <c r="MC147" s="119"/>
      <c r="MD147" s="119"/>
      <c r="ME147" s="119"/>
      <c r="MF147" s="119"/>
      <c r="MG147" s="119"/>
      <c r="MH147" s="119"/>
      <c r="MI147" s="119"/>
      <c r="MJ147" s="119"/>
      <c r="MK147" s="119"/>
      <c r="ML147" s="119"/>
      <c r="MM147" s="119"/>
      <c r="MN147" s="119"/>
      <c r="MO147" s="119"/>
      <c r="MP147" s="119"/>
      <c r="MQ147" s="119"/>
      <c r="MR147" s="119"/>
      <c r="MS147" s="119"/>
      <c r="MT147" s="119"/>
      <c r="MU147" s="119"/>
      <c r="MV147" s="119"/>
      <c r="MW147" s="119"/>
      <c r="MX147" s="119"/>
      <c r="MY147" s="119"/>
      <c r="MZ147" s="119"/>
      <c r="NA147" s="119"/>
      <c r="NB147" s="119"/>
      <c r="NC147" s="119"/>
      <c r="ND147" s="119"/>
      <c r="NE147" s="119"/>
      <c r="NF147" s="119"/>
      <c r="NG147" s="119"/>
      <c r="NH147" s="119"/>
      <c r="NI147" s="119"/>
      <c r="NJ147" s="119"/>
      <c r="NK147" s="119"/>
      <c r="NL147" s="119"/>
      <c r="NM147" s="119"/>
      <c r="NN147" s="119"/>
      <c r="NO147" s="119"/>
      <c r="NP147" s="119"/>
      <c r="NQ147" s="119"/>
      <c r="NR147" s="119"/>
      <c r="NS147" s="119"/>
      <c r="NT147" s="119"/>
      <c r="NU147" s="119"/>
      <c r="NV147" s="119"/>
      <c r="NW147" s="119"/>
      <c r="NX147" s="119"/>
      <c r="NY147" s="119"/>
      <c r="NZ147" s="119"/>
      <c r="OA147" s="119"/>
      <c r="OB147" s="119"/>
      <c r="OC147" s="119"/>
      <c r="OD147" s="119"/>
      <c r="OE147" s="119"/>
      <c r="OF147" s="119"/>
      <c r="OG147" s="119"/>
      <c r="OH147" s="119"/>
      <c r="OI147" s="119"/>
      <c r="OJ147" s="119"/>
      <c r="OK147" s="119"/>
      <c r="OL147" s="119"/>
      <c r="OM147" s="119"/>
      <c r="ON147" s="119"/>
      <c r="OO147" s="119"/>
      <c r="OP147" s="119"/>
      <c r="OQ147" s="119"/>
      <c r="OR147" s="119"/>
      <c r="OS147" s="119"/>
      <c r="OT147" s="119"/>
      <c r="OU147" s="119"/>
      <c r="OV147" s="119"/>
      <c r="OW147" s="119"/>
      <c r="OX147" s="119"/>
      <c r="OY147" s="119"/>
      <c r="OZ147" s="119"/>
      <c r="PA147" s="119"/>
      <c r="PB147" s="119"/>
      <c r="PC147" s="119"/>
      <c r="PD147" s="119"/>
      <c r="PE147" s="119"/>
      <c r="PF147" s="119"/>
      <c r="PG147" s="119"/>
      <c r="PH147" s="119"/>
      <c r="PI147" s="119"/>
      <c r="PJ147" s="119"/>
      <c r="PK147" s="119"/>
      <c r="PL147" s="119"/>
      <c r="PM147" s="119"/>
      <c r="PN147" s="119"/>
      <c r="PO147" s="119"/>
      <c r="PP147" s="119"/>
      <c r="PQ147" s="119"/>
      <c r="PR147" s="119"/>
      <c r="PS147" s="119"/>
      <c r="PT147" s="119"/>
      <c r="PU147" s="119"/>
      <c r="PV147" s="119"/>
      <c r="PW147" s="119"/>
      <c r="PX147" s="119"/>
      <c r="PY147" s="119"/>
      <c r="PZ147" s="119"/>
      <c r="QA147" s="119"/>
      <c r="QB147" s="119"/>
      <c r="QC147" s="119"/>
      <c r="QD147" s="119"/>
      <c r="QE147" s="119"/>
      <c r="QF147" s="119"/>
      <c r="QG147" s="119"/>
      <c r="QH147" s="119"/>
      <c r="QI147" s="119"/>
      <c r="QJ147" s="119"/>
      <c r="QK147" s="119"/>
      <c r="QL147" s="119"/>
      <c r="QM147" s="119"/>
      <c r="QN147" s="119"/>
      <c r="QO147" s="119"/>
      <c r="QP147" s="119"/>
      <c r="QQ147" s="119"/>
      <c r="QR147" s="119"/>
      <c r="QS147" s="119"/>
      <c r="QT147" s="119"/>
      <c r="QU147" s="119"/>
      <c r="QV147" s="119"/>
      <c r="QW147" s="119"/>
      <c r="QX147" s="119"/>
      <c r="QY147" s="119"/>
      <c r="QZ147" s="119"/>
      <c r="RA147" s="119"/>
      <c r="RB147" s="119"/>
      <c r="RC147" s="119"/>
      <c r="RD147" s="119"/>
      <c r="RE147" s="119"/>
      <c r="RF147" s="119"/>
      <c r="RG147" s="119"/>
      <c r="RH147" s="119"/>
      <c r="RI147" s="119"/>
      <c r="RJ147" s="119"/>
      <c r="RK147" s="119"/>
      <c r="RL147" s="119"/>
      <c r="RM147" s="119"/>
      <c r="RN147" s="119"/>
      <c r="RO147" s="119"/>
      <c r="RP147" s="119"/>
      <c r="RQ147" s="119"/>
      <c r="RR147" s="119"/>
      <c r="RS147" s="119"/>
      <c r="RT147" s="119"/>
      <c r="RU147" s="119"/>
      <c r="RV147" s="119"/>
      <c r="RW147" s="119"/>
      <c r="RX147" s="119"/>
      <c r="RY147" s="119"/>
      <c r="RZ147" s="119"/>
      <c r="SA147" s="119"/>
      <c r="SB147" s="119"/>
      <c r="SC147" s="119"/>
      <c r="SD147" s="119"/>
      <c r="SE147" s="119"/>
      <c r="SF147" s="119"/>
      <c r="SG147" s="119"/>
      <c r="SH147" s="119"/>
      <c r="SI147" s="119"/>
      <c r="SJ147" s="119"/>
      <c r="SK147" s="119"/>
      <c r="SL147" s="119"/>
      <c r="SM147" s="119"/>
      <c r="SN147" s="119"/>
      <c r="SO147" s="119"/>
      <c r="SP147" s="119"/>
      <c r="SQ147" s="119"/>
      <c r="SR147" s="119"/>
      <c r="SS147" s="119"/>
      <c r="ST147" s="119"/>
      <c r="SU147" s="119"/>
      <c r="SV147" s="119"/>
      <c r="SW147" s="119"/>
      <c r="SX147" s="119"/>
      <c r="SY147" s="119"/>
      <c r="SZ147" s="119"/>
      <c r="TA147" s="119"/>
      <c r="TB147" s="119"/>
      <c r="TC147" s="119"/>
      <c r="TD147" s="119"/>
      <c r="TE147" s="119"/>
      <c r="TF147" s="119"/>
      <c r="TG147" s="119"/>
      <c r="TH147" s="119"/>
      <c r="TI147" s="119"/>
      <c r="TJ147" s="119"/>
      <c r="TK147" s="119"/>
      <c r="TL147" s="119"/>
      <c r="TM147" s="119"/>
      <c r="TN147" s="119"/>
      <c r="TO147" s="119"/>
      <c r="TP147" s="119"/>
      <c r="TQ147" s="119"/>
      <c r="TR147" s="119"/>
      <c r="TS147" s="119"/>
      <c r="TT147" s="119"/>
      <c r="TU147" s="119"/>
      <c r="TV147" s="119"/>
      <c r="TW147" s="119"/>
      <c r="TX147" s="119"/>
      <c r="TY147" s="119"/>
      <c r="TZ147" s="119"/>
      <c r="UA147" s="119"/>
      <c r="UB147" s="119"/>
      <c r="UC147" s="119"/>
      <c r="UD147" s="119"/>
      <c r="UE147" s="119"/>
      <c r="UF147" s="119"/>
      <c r="UG147" s="119"/>
      <c r="UH147" s="119"/>
      <c r="UI147" s="119"/>
      <c r="UJ147" s="119"/>
      <c r="UK147" s="119"/>
      <c r="UL147" s="119"/>
      <c r="UM147" s="119"/>
      <c r="UN147" s="119"/>
      <c r="UO147" s="119"/>
      <c r="UP147" s="119"/>
      <c r="UQ147" s="119"/>
      <c r="UR147" s="119"/>
      <c r="US147" s="119"/>
      <c r="UT147" s="119"/>
      <c r="UU147" s="119"/>
      <c r="UV147" s="119"/>
      <c r="UW147" s="119"/>
      <c r="UX147" s="119"/>
      <c r="UY147" s="119"/>
      <c r="UZ147" s="119"/>
      <c r="VA147" s="119"/>
      <c r="VB147" s="119"/>
      <c r="VC147" s="119"/>
      <c r="VD147" s="119"/>
      <c r="VE147" s="119"/>
      <c r="VF147" s="119"/>
      <c r="VG147" s="119"/>
      <c r="VH147" s="119"/>
      <c r="VI147" s="119"/>
      <c r="VJ147" s="119"/>
      <c r="VK147" s="119"/>
      <c r="VL147" s="119"/>
      <c r="VM147" s="119"/>
      <c r="VN147" s="119"/>
      <c r="VO147" s="119"/>
      <c r="VP147" s="119"/>
      <c r="VQ147" s="119"/>
      <c r="VR147" s="119"/>
      <c r="VS147" s="119"/>
      <c r="VT147" s="119"/>
      <c r="VU147" s="119"/>
      <c r="VV147" s="119"/>
      <c r="VW147" s="119"/>
      <c r="VX147" s="119"/>
      <c r="VY147" s="119"/>
      <c r="VZ147" s="119"/>
      <c r="WA147" s="119"/>
      <c r="WB147" s="119"/>
      <c r="WC147" s="119"/>
      <c r="WD147" s="119"/>
      <c r="WE147" s="119"/>
      <c r="WF147" s="119"/>
      <c r="WG147" s="119"/>
      <c r="WH147" s="119"/>
      <c r="WI147" s="119"/>
      <c r="WJ147" s="119"/>
      <c r="WK147" s="119"/>
      <c r="WL147" s="119"/>
      <c r="WM147" s="119"/>
      <c r="WN147" s="119"/>
      <c r="WO147" s="119"/>
      <c r="WP147" s="119"/>
      <c r="WQ147" s="119"/>
      <c r="WR147" s="119"/>
      <c r="WS147" s="119"/>
      <c r="WT147" s="119"/>
      <c r="WU147" s="119"/>
      <c r="WV147" s="119"/>
      <c r="WW147" s="119"/>
      <c r="WX147" s="119"/>
      <c r="WY147" s="119"/>
      <c r="WZ147" s="119"/>
      <c r="XA147" s="119"/>
      <c r="XB147" s="119"/>
      <c r="XC147" s="119"/>
      <c r="XD147" s="119"/>
      <c r="XE147" s="119"/>
      <c r="XF147" s="119"/>
      <c r="XG147" s="119"/>
      <c r="XH147" s="119"/>
      <c r="XI147" s="119"/>
      <c r="XJ147" s="119"/>
      <c r="XK147" s="119"/>
      <c r="XL147" s="119"/>
      <c r="XM147" s="119"/>
      <c r="XN147" s="119"/>
      <c r="XO147" s="119"/>
      <c r="XP147" s="119"/>
      <c r="XQ147" s="119"/>
      <c r="XR147" s="119"/>
      <c r="XS147" s="119"/>
      <c r="XT147" s="119"/>
      <c r="XU147" s="119"/>
      <c r="XV147" s="119"/>
      <c r="XW147" s="119"/>
      <c r="XX147" s="119"/>
      <c r="XY147" s="119"/>
      <c r="XZ147" s="119"/>
      <c r="YA147" s="119"/>
      <c r="YB147" s="119"/>
      <c r="YC147" s="119"/>
      <c r="YD147" s="119"/>
      <c r="YE147" s="119"/>
      <c r="YF147" s="119"/>
      <c r="YG147" s="119"/>
      <c r="YH147" s="119"/>
      <c r="YI147" s="119"/>
      <c r="YJ147" s="119"/>
      <c r="YK147" s="119"/>
      <c r="YL147" s="119"/>
      <c r="YM147" s="119"/>
      <c r="YN147" s="119"/>
      <c r="YO147" s="119"/>
      <c r="YP147" s="119"/>
      <c r="YQ147" s="119"/>
      <c r="YR147" s="119"/>
      <c r="YS147" s="119"/>
      <c r="YT147" s="119"/>
      <c r="YU147" s="119"/>
      <c r="YV147" s="119"/>
      <c r="YW147" s="119"/>
      <c r="YX147" s="119"/>
      <c r="YY147" s="119"/>
      <c r="YZ147" s="119"/>
      <c r="ZA147" s="119"/>
      <c r="ZB147" s="119"/>
      <c r="ZC147" s="119"/>
      <c r="ZD147" s="119"/>
      <c r="ZE147" s="119"/>
      <c r="ZF147" s="119"/>
      <c r="ZG147" s="119"/>
      <c r="ZH147" s="119"/>
      <c r="ZI147" s="119"/>
      <c r="ZJ147" s="119"/>
      <c r="ZK147" s="119"/>
      <c r="ZL147" s="119"/>
      <c r="ZM147" s="119"/>
      <c r="ZN147" s="119"/>
      <c r="ZO147" s="119"/>
      <c r="ZP147" s="119"/>
      <c r="ZQ147" s="119"/>
      <c r="ZR147" s="119"/>
      <c r="ZS147" s="119"/>
      <c r="ZT147" s="119"/>
      <c r="ZU147" s="119"/>
      <c r="ZV147" s="119"/>
      <c r="ZW147" s="119"/>
      <c r="ZX147" s="119"/>
      <c r="ZY147" s="119"/>
      <c r="ZZ147" s="119"/>
      <c r="AAA147" s="119"/>
      <c r="AAB147" s="119"/>
      <c r="AAC147" s="119"/>
      <c r="AAD147" s="119"/>
      <c r="AAE147" s="119"/>
      <c r="AAF147" s="119"/>
      <c r="AAG147" s="119"/>
      <c r="AAH147" s="119"/>
      <c r="AAI147" s="119"/>
      <c r="AAJ147" s="119"/>
      <c r="AAK147" s="119"/>
      <c r="AAL147" s="119"/>
      <c r="AAM147" s="119"/>
      <c r="AAN147" s="119"/>
      <c r="AAO147" s="119"/>
      <c r="AAP147" s="119"/>
      <c r="AAQ147" s="119"/>
      <c r="AAR147" s="119"/>
      <c r="AAS147" s="119"/>
      <c r="AAT147" s="119"/>
      <c r="AAU147" s="119"/>
      <c r="AAV147" s="119"/>
      <c r="AAW147" s="119"/>
      <c r="AAX147" s="119"/>
      <c r="AAY147" s="119"/>
      <c r="AAZ147" s="119"/>
      <c r="ABA147" s="119"/>
      <c r="ABB147" s="119"/>
      <c r="ABC147" s="119"/>
      <c r="ABD147" s="119"/>
      <c r="ABE147" s="119"/>
      <c r="ABF147" s="119"/>
      <c r="ABG147" s="119"/>
      <c r="ABH147" s="119"/>
      <c r="ABI147" s="119"/>
      <c r="ABJ147" s="119"/>
      <c r="ABK147" s="119"/>
      <c r="ABL147" s="119"/>
      <c r="ABM147" s="119"/>
      <c r="ABN147" s="119"/>
      <c r="ABO147" s="119"/>
      <c r="ABP147" s="119"/>
      <c r="ABQ147" s="119"/>
      <c r="ABR147" s="119"/>
      <c r="ABS147" s="119"/>
      <c r="ABT147" s="119"/>
      <c r="ABU147" s="119"/>
      <c r="ABV147" s="119"/>
      <c r="ABW147" s="119"/>
      <c r="ABX147" s="119"/>
      <c r="ABY147" s="119"/>
      <c r="ABZ147" s="119"/>
      <c r="ACA147" s="119"/>
      <c r="ACB147" s="119"/>
      <c r="ACC147" s="119"/>
      <c r="ACD147" s="119"/>
      <c r="ACE147" s="119"/>
      <c r="ACF147" s="119"/>
      <c r="ACG147" s="119"/>
      <c r="ACH147" s="119"/>
      <c r="ACI147" s="119"/>
      <c r="ACJ147" s="119"/>
      <c r="ACK147" s="119"/>
      <c r="ACL147" s="119"/>
      <c r="ACM147" s="119"/>
      <c r="ACN147" s="119"/>
      <c r="ACO147" s="119"/>
      <c r="ACP147" s="119"/>
      <c r="ACQ147" s="119"/>
    </row>
    <row r="148" spans="1:771" s="62" customFormat="1" ht="225.95" customHeight="1">
      <c r="A148" s="25"/>
      <c r="B148" s="61" t="s">
        <v>657</v>
      </c>
      <c r="D148" s="61" t="s">
        <v>658</v>
      </c>
      <c r="F148" s="63" t="s">
        <v>363</v>
      </c>
      <c r="H148" s="61" t="s">
        <v>291</v>
      </c>
      <c r="J148" s="61" t="s">
        <v>659</v>
      </c>
      <c r="L148" s="61" t="s">
        <v>74</v>
      </c>
      <c r="N148" s="61" t="s">
        <v>185</v>
      </c>
      <c r="P148" s="61" t="s">
        <v>660</v>
      </c>
      <c r="R148" s="61" t="s">
        <v>77</v>
      </c>
      <c r="T148" s="65" t="s">
        <v>661</v>
      </c>
      <c r="U148" s="66"/>
      <c r="V148" s="67" t="s">
        <v>79</v>
      </c>
      <c r="W148" s="68"/>
      <c r="X148" s="67" t="s">
        <v>80</v>
      </c>
      <c r="Y148" s="68"/>
      <c r="Z148" s="67" t="s">
        <v>80</v>
      </c>
      <c r="AA148" s="68"/>
      <c r="AB148" s="63" t="s">
        <v>662</v>
      </c>
      <c r="AD148" s="63" t="s">
        <v>663</v>
      </c>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c r="IV148" s="20"/>
      <c r="IW148" s="20"/>
      <c r="IX148" s="20"/>
      <c r="IY148" s="20"/>
      <c r="IZ148" s="20"/>
      <c r="JA148" s="20"/>
      <c r="JB148" s="20"/>
      <c r="JC148" s="20"/>
      <c r="JD148" s="20"/>
      <c r="JE148" s="20"/>
      <c r="JF148" s="20"/>
      <c r="JG148" s="20"/>
      <c r="JH148" s="20"/>
      <c r="JI148" s="20"/>
      <c r="JJ148" s="20"/>
      <c r="JK148" s="20"/>
      <c r="JL148" s="20"/>
      <c r="JM148" s="20"/>
      <c r="JN148" s="20"/>
      <c r="JO148" s="20"/>
      <c r="JP148" s="20"/>
      <c r="JQ148" s="20"/>
      <c r="JR148" s="20"/>
      <c r="JS148" s="20"/>
      <c r="JT148" s="20"/>
      <c r="JU148" s="20"/>
      <c r="JV148" s="20"/>
      <c r="JW148" s="20"/>
      <c r="JX148" s="20"/>
      <c r="JY148" s="20"/>
      <c r="JZ148" s="20"/>
      <c r="KA148" s="20"/>
      <c r="KB148" s="20"/>
      <c r="KC148" s="20"/>
      <c r="KD148" s="20"/>
      <c r="KE148" s="20"/>
      <c r="KF148" s="20"/>
      <c r="KG148" s="20"/>
      <c r="KH148" s="20"/>
      <c r="KI148" s="20"/>
      <c r="KJ148" s="20"/>
      <c r="KK148" s="20"/>
      <c r="KL148" s="20"/>
      <c r="KM148" s="20"/>
      <c r="KN148" s="20"/>
      <c r="KO148" s="20"/>
      <c r="KP148" s="20"/>
      <c r="KQ148" s="20"/>
      <c r="KR148" s="20"/>
      <c r="KS148" s="20"/>
      <c r="KT148" s="20"/>
      <c r="KU148" s="20"/>
      <c r="KV148" s="20"/>
      <c r="KW148" s="20"/>
      <c r="KX148" s="20"/>
      <c r="KY148" s="20"/>
      <c r="KZ148" s="20"/>
      <c r="LA148" s="20"/>
      <c r="LB148" s="20"/>
      <c r="LC148" s="20"/>
      <c r="LD148" s="20"/>
      <c r="LE148" s="20"/>
      <c r="LF148" s="20"/>
      <c r="LG148" s="20"/>
      <c r="LH148" s="20"/>
      <c r="LI148" s="20"/>
      <c r="LJ148" s="20"/>
      <c r="LK148" s="20"/>
      <c r="LL148" s="20"/>
      <c r="LM148" s="20"/>
      <c r="LN148" s="20"/>
      <c r="LO148" s="20"/>
      <c r="LP148" s="20"/>
      <c r="LQ148" s="20"/>
      <c r="LR148" s="20"/>
      <c r="LS148" s="20"/>
      <c r="LT148" s="20"/>
      <c r="LU148" s="20"/>
      <c r="LV148" s="20"/>
      <c r="LW148" s="20"/>
      <c r="LX148" s="20"/>
      <c r="LY148" s="20"/>
      <c r="LZ148" s="20"/>
      <c r="MA148" s="20"/>
      <c r="MB148" s="20"/>
      <c r="MC148" s="20"/>
      <c r="MD148" s="20"/>
      <c r="ME148" s="20"/>
      <c r="MF148" s="20"/>
      <c r="MG148" s="20"/>
      <c r="MH148" s="20"/>
      <c r="MI148" s="20"/>
      <c r="MJ148" s="20"/>
      <c r="MK148" s="20"/>
      <c r="ML148" s="20"/>
      <c r="MM148" s="20"/>
      <c r="MN148" s="20"/>
      <c r="MO148" s="20"/>
      <c r="MP148" s="20"/>
      <c r="MQ148" s="20"/>
      <c r="MR148" s="20"/>
      <c r="MS148" s="20"/>
      <c r="MT148" s="20"/>
      <c r="MU148" s="20"/>
      <c r="MV148" s="20"/>
      <c r="MW148" s="20"/>
      <c r="MX148" s="20"/>
      <c r="MY148" s="20"/>
      <c r="MZ148" s="20"/>
      <c r="NA148" s="20"/>
      <c r="NB148" s="20"/>
      <c r="NC148" s="20"/>
      <c r="ND148" s="20"/>
      <c r="NE148" s="20"/>
      <c r="NF148" s="20"/>
      <c r="NG148" s="20"/>
      <c r="NH148" s="20"/>
      <c r="NI148" s="20"/>
      <c r="NJ148" s="20"/>
      <c r="NK148" s="20"/>
      <c r="NL148" s="20"/>
      <c r="NM148" s="20"/>
      <c r="NN148" s="20"/>
      <c r="NO148" s="20"/>
      <c r="NP148" s="20"/>
      <c r="NQ148" s="20"/>
      <c r="NR148" s="20"/>
      <c r="NS148" s="20"/>
      <c r="NT148" s="20"/>
      <c r="NU148" s="20"/>
      <c r="NV148" s="20"/>
      <c r="NW148" s="20"/>
      <c r="NX148" s="20"/>
      <c r="NY148" s="20"/>
      <c r="NZ148" s="20"/>
      <c r="OA148" s="20"/>
      <c r="OB148" s="20"/>
      <c r="OC148" s="20"/>
      <c r="OD148" s="20"/>
      <c r="OE148" s="20"/>
      <c r="OF148" s="20"/>
      <c r="OG148" s="20"/>
      <c r="OH148" s="20"/>
      <c r="OI148" s="20"/>
      <c r="OJ148" s="20"/>
      <c r="OK148" s="20"/>
      <c r="OL148" s="20"/>
      <c r="OM148" s="20"/>
      <c r="ON148" s="20"/>
      <c r="OO148" s="20"/>
      <c r="OP148" s="20"/>
      <c r="OQ148" s="20"/>
      <c r="OR148" s="20"/>
      <c r="OS148" s="20"/>
      <c r="OT148" s="20"/>
      <c r="OU148" s="20"/>
      <c r="OV148" s="20"/>
      <c r="OW148" s="20"/>
      <c r="OX148" s="20"/>
      <c r="OY148" s="20"/>
      <c r="OZ148" s="20"/>
      <c r="PA148" s="20"/>
      <c r="PB148" s="20"/>
      <c r="PC148" s="20"/>
      <c r="PD148" s="20"/>
      <c r="PE148" s="20"/>
      <c r="PF148" s="20"/>
      <c r="PG148" s="20"/>
      <c r="PH148" s="20"/>
      <c r="PI148" s="20"/>
      <c r="PJ148" s="20"/>
      <c r="PK148" s="20"/>
      <c r="PL148" s="20"/>
      <c r="PM148" s="20"/>
      <c r="PN148" s="20"/>
      <c r="PO148" s="20"/>
      <c r="PP148" s="20"/>
      <c r="PQ148" s="20"/>
      <c r="PR148" s="20"/>
      <c r="PS148" s="20"/>
      <c r="PT148" s="20"/>
      <c r="PU148" s="20"/>
      <c r="PV148" s="20"/>
      <c r="PW148" s="20"/>
      <c r="PX148" s="20"/>
      <c r="PY148" s="20"/>
      <c r="PZ148" s="20"/>
      <c r="QA148" s="20"/>
      <c r="QB148" s="20"/>
      <c r="QC148" s="20"/>
      <c r="QD148" s="20"/>
      <c r="QE148" s="20"/>
      <c r="QF148" s="20"/>
      <c r="QG148" s="20"/>
      <c r="QH148" s="20"/>
      <c r="QI148" s="20"/>
      <c r="QJ148" s="20"/>
      <c r="QK148" s="20"/>
      <c r="QL148" s="20"/>
      <c r="QM148" s="20"/>
      <c r="QN148" s="20"/>
      <c r="QO148" s="20"/>
      <c r="QP148" s="20"/>
      <c r="QQ148" s="20"/>
      <c r="QR148" s="20"/>
      <c r="QS148" s="20"/>
      <c r="QT148" s="20"/>
      <c r="QU148" s="20"/>
      <c r="QV148" s="20"/>
      <c r="QW148" s="20"/>
      <c r="QX148" s="20"/>
      <c r="QY148" s="20"/>
      <c r="QZ148" s="20"/>
      <c r="RA148" s="20"/>
      <c r="RB148" s="20"/>
      <c r="RC148" s="20"/>
      <c r="RD148" s="20"/>
      <c r="RE148" s="20"/>
      <c r="RF148" s="20"/>
      <c r="RG148" s="20"/>
      <c r="RH148" s="20"/>
      <c r="RI148" s="20"/>
      <c r="RJ148" s="20"/>
      <c r="RK148" s="20"/>
      <c r="RL148" s="20"/>
      <c r="RM148" s="20"/>
      <c r="RN148" s="20"/>
      <c r="RO148" s="20"/>
      <c r="RP148" s="20"/>
      <c r="RQ148" s="20"/>
      <c r="RR148" s="20"/>
      <c r="RS148" s="20"/>
      <c r="RT148" s="20"/>
      <c r="RU148" s="20"/>
      <c r="RV148" s="20"/>
      <c r="RW148" s="20"/>
      <c r="RX148" s="20"/>
      <c r="RY148" s="20"/>
      <c r="RZ148" s="20"/>
      <c r="SA148" s="20"/>
      <c r="SB148" s="20"/>
      <c r="SC148" s="20"/>
      <c r="SD148" s="20"/>
      <c r="SE148" s="20"/>
      <c r="SF148" s="20"/>
      <c r="SG148" s="20"/>
      <c r="SH148" s="20"/>
      <c r="SI148" s="20"/>
      <c r="SJ148" s="20"/>
      <c r="SK148" s="20"/>
      <c r="SL148" s="20"/>
      <c r="SM148" s="20"/>
      <c r="SN148" s="20"/>
      <c r="SO148" s="20"/>
      <c r="SP148" s="20"/>
      <c r="SQ148" s="20"/>
      <c r="SR148" s="20"/>
      <c r="SS148" s="20"/>
      <c r="ST148" s="20"/>
      <c r="SU148" s="20"/>
      <c r="SV148" s="20"/>
      <c r="SW148" s="20"/>
      <c r="SX148" s="20"/>
      <c r="SY148" s="20"/>
      <c r="SZ148" s="20"/>
      <c r="TA148" s="20"/>
      <c r="TB148" s="20"/>
      <c r="TC148" s="20"/>
      <c r="TD148" s="20"/>
      <c r="TE148" s="20"/>
      <c r="TF148" s="20"/>
      <c r="TG148" s="20"/>
      <c r="TH148" s="20"/>
      <c r="TI148" s="20"/>
      <c r="TJ148" s="20"/>
      <c r="TK148" s="20"/>
      <c r="TL148" s="20"/>
      <c r="TM148" s="20"/>
      <c r="TN148" s="20"/>
      <c r="TO148" s="20"/>
      <c r="TP148" s="20"/>
      <c r="TQ148" s="20"/>
      <c r="TR148" s="20"/>
      <c r="TS148" s="20"/>
      <c r="TT148" s="20"/>
      <c r="TU148" s="20"/>
      <c r="TV148" s="20"/>
      <c r="TW148" s="20"/>
      <c r="TX148" s="20"/>
      <c r="TY148" s="20"/>
      <c r="TZ148" s="20"/>
      <c r="UA148" s="20"/>
      <c r="UB148" s="20"/>
      <c r="UC148" s="20"/>
      <c r="UD148" s="20"/>
      <c r="UE148" s="20"/>
      <c r="UF148" s="20"/>
      <c r="UG148" s="20"/>
      <c r="UH148" s="20"/>
      <c r="UI148" s="20"/>
      <c r="UJ148" s="20"/>
      <c r="UK148" s="20"/>
      <c r="UL148" s="20"/>
      <c r="UM148" s="20"/>
      <c r="UN148" s="20"/>
      <c r="UO148" s="20"/>
      <c r="UP148" s="20"/>
      <c r="UQ148" s="20"/>
      <c r="UR148" s="20"/>
      <c r="US148" s="20"/>
      <c r="UT148" s="20"/>
      <c r="UU148" s="20"/>
      <c r="UV148" s="20"/>
      <c r="UW148" s="20"/>
      <c r="UX148" s="20"/>
      <c r="UY148" s="20"/>
      <c r="UZ148" s="20"/>
      <c r="VA148" s="20"/>
      <c r="VB148" s="20"/>
      <c r="VC148" s="20"/>
      <c r="VD148" s="20"/>
      <c r="VE148" s="20"/>
      <c r="VF148" s="20"/>
      <c r="VG148" s="20"/>
      <c r="VH148" s="20"/>
      <c r="VI148" s="20"/>
      <c r="VJ148" s="20"/>
      <c r="VK148" s="20"/>
      <c r="VL148" s="20"/>
      <c r="VM148" s="20"/>
      <c r="VN148" s="20"/>
      <c r="VO148" s="20"/>
      <c r="VP148" s="20"/>
      <c r="VQ148" s="20"/>
      <c r="VR148" s="20"/>
      <c r="VS148" s="20"/>
      <c r="VT148" s="20"/>
      <c r="VU148" s="20"/>
      <c r="VV148" s="20"/>
      <c r="VW148" s="20"/>
      <c r="VX148" s="20"/>
      <c r="VY148" s="20"/>
      <c r="VZ148" s="20"/>
      <c r="WA148" s="20"/>
      <c r="WB148" s="20"/>
      <c r="WC148" s="20"/>
      <c r="WD148" s="20"/>
      <c r="WE148" s="20"/>
      <c r="WF148" s="20"/>
      <c r="WG148" s="20"/>
      <c r="WH148" s="20"/>
      <c r="WI148" s="20"/>
      <c r="WJ148" s="20"/>
      <c r="WK148" s="20"/>
      <c r="WL148" s="20"/>
      <c r="WM148" s="20"/>
      <c r="WN148" s="20"/>
      <c r="WO148" s="20"/>
      <c r="WP148" s="20"/>
      <c r="WQ148" s="20"/>
      <c r="WR148" s="20"/>
      <c r="WS148" s="20"/>
      <c r="WT148" s="20"/>
      <c r="WU148" s="20"/>
      <c r="WV148" s="20"/>
      <c r="WW148" s="20"/>
      <c r="WX148" s="20"/>
      <c r="WY148" s="20"/>
      <c r="WZ148" s="20"/>
      <c r="XA148" s="20"/>
      <c r="XB148" s="20"/>
      <c r="XC148" s="20"/>
      <c r="XD148" s="20"/>
      <c r="XE148" s="20"/>
      <c r="XF148" s="20"/>
      <c r="XG148" s="20"/>
      <c r="XH148" s="20"/>
      <c r="XI148" s="20"/>
      <c r="XJ148" s="20"/>
      <c r="XK148" s="20"/>
      <c r="XL148" s="20"/>
      <c r="XM148" s="20"/>
      <c r="XN148" s="20"/>
      <c r="XO148" s="20"/>
      <c r="XP148" s="20"/>
      <c r="XQ148" s="20"/>
      <c r="XR148" s="20"/>
      <c r="XS148" s="20"/>
      <c r="XT148" s="20"/>
      <c r="XU148" s="20"/>
      <c r="XV148" s="20"/>
      <c r="XW148" s="20"/>
      <c r="XX148" s="20"/>
      <c r="XY148" s="20"/>
      <c r="XZ148" s="20"/>
      <c r="YA148" s="20"/>
      <c r="YB148" s="20"/>
      <c r="YC148" s="20"/>
      <c r="YD148" s="20"/>
      <c r="YE148" s="20"/>
      <c r="YF148" s="20"/>
      <c r="YG148" s="20"/>
      <c r="YH148" s="20"/>
      <c r="YI148" s="20"/>
      <c r="YJ148" s="20"/>
      <c r="YK148" s="20"/>
      <c r="YL148" s="20"/>
      <c r="YM148" s="20"/>
      <c r="YN148" s="20"/>
      <c r="YO148" s="20"/>
      <c r="YP148" s="20"/>
      <c r="YQ148" s="20"/>
      <c r="YR148" s="20"/>
      <c r="YS148" s="20"/>
      <c r="YT148" s="20"/>
      <c r="YU148" s="20"/>
      <c r="YV148" s="20"/>
      <c r="YW148" s="20"/>
      <c r="YX148" s="20"/>
      <c r="YY148" s="20"/>
      <c r="YZ148" s="20"/>
      <c r="ZA148" s="20"/>
      <c r="ZB148" s="20"/>
      <c r="ZC148" s="20"/>
      <c r="ZD148" s="20"/>
      <c r="ZE148" s="20"/>
      <c r="ZF148" s="20"/>
      <c r="ZG148" s="20"/>
      <c r="ZH148" s="20"/>
      <c r="ZI148" s="20"/>
      <c r="ZJ148" s="20"/>
      <c r="ZK148" s="20"/>
      <c r="ZL148" s="20"/>
      <c r="ZM148" s="20"/>
      <c r="ZN148" s="20"/>
      <c r="ZO148" s="20"/>
      <c r="ZP148" s="20"/>
      <c r="ZQ148" s="20"/>
      <c r="ZR148" s="20"/>
      <c r="ZS148" s="20"/>
      <c r="ZT148" s="20"/>
      <c r="ZU148" s="20"/>
      <c r="ZV148" s="20"/>
      <c r="ZW148" s="20"/>
      <c r="ZX148" s="20"/>
      <c r="ZY148" s="20"/>
      <c r="ZZ148" s="20"/>
      <c r="AAA148" s="20"/>
      <c r="AAB148" s="20"/>
      <c r="AAC148" s="20"/>
      <c r="AAD148" s="20"/>
      <c r="AAE148" s="20"/>
      <c r="AAF148" s="20"/>
      <c r="AAG148" s="20"/>
      <c r="AAH148" s="20"/>
      <c r="AAI148" s="20"/>
      <c r="AAJ148" s="20"/>
      <c r="AAK148" s="20"/>
      <c r="AAL148" s="20"/>
      <c r="AAM148" s="20"/>
      <c r="AAN148" s="20"/>
      <c r="AAO148" s="20"/>
      <c r="AAP148" s="20"/>
      <c r="AAQ148" s="20"/>
      <c r="AAR148" s="20"/>
      <c r="AAS148" s="20"/>
      <c r="AAT148" s="20"/>
      <c r="AAU148" s="20"/>
      <c r="AAV148" s="20"/>
      <c r="AAW148" s="20"/>
      <c r="AAX148" s="20"/>
      <c r="AAY148" s="20"/>
      <c r="AAZ148" s="20"/>
      <c r="ABA148" s="20"/>
      <c r="ABB148" s="20"/>
      <c r="ABC148" s="20"/>
      <c r="ABD148" s="20"/>
      <c r="ABE148" s="20"/>
      <c r="ABF148" s="20"/>
      <c r="ABG148" s="20"/>
      <c r="ABH148" s="20"/>
      <c r="ABI148" s="20"/>
      <c r="ABJ148" s="20"/>
      <c r="ABK148" s="20"/>
      <c r="ABL148" s="20"/>
      <c r="ABM148" s="20"/>
      <c r="ABN148" s="20"/>
      <c r="ABO148" s="20"/>
      <c r="ABP148" s="20"/>
      <c r="ABQ148" s="20"/>
      <c r="ABR148" s="20"/>
      <c r="ABS148" s="20"/>
      <c r="ABT148" s="20"/>
      <c r="ABU148" s="20"/>
      <c r="ABV148" s="20"/>
      <c r="ABW148" s="20"/>
      <c r="ABX148" s="20"/>
      <c r="ABY148" s="20"/>
      <c r="ABZ148" s="20"/>
      <c r="ACA148" s="20"/>
      <c r="ACB148" s="20"/>
      <c r="ACC148" s="20"/>
      <c r="ACD148" s="20"/>
      <c r="ACE148" s="20"/>
      <c r="ACF148" s="20"/>
      <c r="ACG148" s="20"/>
      <c r="ACH148" s="20"/>
      <c r="ACI148" s="20"/>
      <c r="ACJ148" s="20"/>
      <c r="ACK148" s="20"/>
      <c r="ACL148" s="20"/>
      <c r="ACM148" s="20"/>
      <c r="ACN148" s="20"/>
      <c r="ACO148" s="20"/>
      <c r="ACP148" s="20"/>
      <c r="ACQ148" s="20"/>
    </row>
    <row r="149" spans="1:771" s="62" customFormat="1" ht="56.1" customHeight="1">
      <c r="A149" s="21"/>
      <c r="B149" s="61" t="s">
        <v>664</v>
      </c>
      <c r="D149" s="61" t="s">
        <v>665</v>
      </c>
      <c r="F149" s="63" t="s">
        <v>184</v>
      </c>
      <c r="H149" s="61" t="s">
        <v>666</v>
      </c>
      <c r="J149" s="61" t="s">
        <v>659</v>
      </c>
      <c r="L149" s="61" t="s">
        <v>74</v>
      </c>
      <c r="N149" s="61" t="s">
        <v>185</v>
      </c>
      <c r="P149" s="61" t="s">
        <v>667</v>
      </c>
      <c r="R149" s="61" t="s">
        <v>77</v>
      </c>
      <c r="T149" s="70" t="s">
        <v>265</v>
      </c>
      <c r="U149" s="66"/>
      <c r="V149" s="67" t="s">
        <v>80</v>
      </c>
      <c r="W149" s="68"/>
      <c r="X149" s="67" t="s">
        <v>80</v>
      </c>
      <c r="Y149" s="68"/>
      <c r="Z149" s="67" t="s">
        <v>80</v>
      </c>
      <c r="AA149" s="68"/>
      <c r="AB149" s="67" t="s">
        <v>80</v>
      </c>
      <c r="AD149" s="63" t="s">
        <v>668</v>
      </c>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c r="IN149" s="20"/>
      <c r="IO149" s="20"/>
      <c r="IP149" s="20"/>
      <c r="IQ149" s="20"/>
      <c r="IR149" s="20"/>
      <c r="IS149" s="20"/>
      <c r="IT149" s="20"/>
      <c r="IU149" s="20"/>
      <c r="IV149" s="20"/>
      <c r="IW149" s="20"/>
      <c r="IX149" s="20"/>
      <c r="IY149" s="20"/>
      <c r="IZ149" s="20"/>
      <c r="JA149" s="20"/>
      <c r="JB149" s="20"/>
      <c r="JC149" s="20"/>
      <c r="JD149" s="20"/>
      <c r="JE149" s="20"/>
      <c r="JF149" s="20"/>
      <c r="JG149" s="20"/>
      <c r="JH149" s="20"/>
      <c r="JI149" s="20"/>
      <c r="JJ149" s="20"/>
      <c r="JK149" s="20"/>
      <c r="JL149" s="20"/>
      <c r="JM149" s="20"/>
      <c r="JN149" s="20"/>
      <c r="JO149" s="20"/>
      <c r="JP149" s="20"/>
      <c r="JQ149" s="20"/>
      <c r="JR149" s="20"/>
      <c r="JS149" s="20"/>
      <c r="JT149" s="20"/>
      <c r="JU149" s="20"/>
      <c r="JV149" s="20"/>
      <c r="JW149" s="20"/>
      <c r="JX149" s="20"/>
      <c r="JY149" s="20"/>
      <c r="JZ149" s="20"/>
      <c r="KA149" s="20"/>
      <c r="KB149" s="20"/>
      <c r="KC149" s="20"/>
      <c r="KD149" s="20"/>
      <c r="KE149" s="20"/>
      <c r="KF149" s="20"/>
      <c r="KG149" s="20"/>
      <c r="KH149" s="20"/>
      <c r="KI149" s="20"/>
      <c r="KJ149" s="20"/>
      <c r="KK149" s="20"/>
      <c r="KL149" s="20"/>
      <c r="KM149" s="20"/>
      <c r="KN149" s="20"/>
      <c r="KO149" s="20"/>
      <c r="KP149" s="20"/>
      <c r="KQ149" s="20"/>
      <c r="KR149" s="20"/>
      <c r="KS149" s="20"/>
      <c r="KT149" s="20"/>
      <c r="KU149" s="20"/>
      <c r="KV149" s="20"/>
      <c r="KW149" s="20"/>
      <c r="KX149" s="20"/>
      <c r="KY149" s="20"/>
      <c r="KZ149" s="20"/>
      <c r="LA149" s="20"/>
      <c r="LB149" s="20"/>
      <c r="LC149" s="20"/>
      <c r="LD149" s="20"/>
      <c r="LE149" s="20"/>
      <c r="LF149" s="20"/>
      <c r="LG149" s="20"/>
      <c r="LH149" s="20"/>
      <c r="LI149" s="20"/>
      <c r="LJ149" s="20"/>
      <c r="LK149" s="20"/>
      <c r="LL149" s="20"/>
      <c r="LM149" s="20"/>
      <c r="LN149" s="20"/>
      <c r="LO149" s="20"/>
      <c r="LP149" s="20"/>
      <c r="LQ149" s="20"/>
      <c r="LR149" s="20"/>
      <c r="LS149" s="20"/>
      <c r="LT149" s="20"/>
      <c r="LU149" s="20"/>
      <c r="LV149" s="20"/>
      <c r="LW149" s="20"/>
      <c r="LX149" s="20"/>
      <c r="LY149" s="20"/>
      <c r="LZ149" s="20"/>
      <c r="MA149" s="20"/>
      <c r="MB149" s="20"/>
      <c r="MC149" s="20"/>
      <c r="MD149" s="20"/>
      <c r="ME149" s="20"/>
      <c r="MF149" s="20"/>
      <c r="MG149" s="20"/>
      <c r="MH149" s="20"/>
      <c r="MI149" s="20"/>
      <c r="MJ149" s="20"/>
      <c r="MK149" s="20"/>
      <c r="ML149" s="20"/>
      <c r="MM149" s="20"/>
      <c r="MN149" s="20"/>
      <c r="MO149" s="20"/>
      <c r="MP149" s="20"/>
      <c r="MQ149" s="20"/>
      <c r="MR149" s="20"/>
      <c r="MS149" s="20"/>
      <c r="MT149" s="20"/>
      <c r="MU149" s="20"/>
      <c r="MV149" s="20"/>
      <c r="MW149" s="20"/>
      <c r="MX149" s="20"/>
      <c r="MY149" s="20"/>
      <c r="MZ149" s="20"/>
      <c r="NA149" s="20"/>
      <c r="NB149" s="20"/>
      <c r="NC149" s="20"/>
      <c r="ND149" s="20"/>
      <c r="NE149" s="20"/>
      <c r="NF149" s="20"/>
      <c r="NG149" s="20"/>
      <c r="NH149" s="20"/>
      <c r="NI149" s="20"/>
      <c r="NJ149" s="20"/>
      <c r="NK149" s="20"/>
      <c r="NL149" s="20"/>
      <c r="NM149" s="20"/>
      <c r="NN149" s="20"/>
      <c r="NO149" s="20"/>
      <c r="NP149" s="20"/>
      <c r="NQ149" s="20"/>
      <c r="NR149" s="20"/>
      <c r="NS149" s="20"/>
      <c r="NT149" s="20"/>
      <c r="NU149" s="20"/>
      <c r="NV149" s="20"/>
      <c r="NW149" s="20"/>
      <c r="NX149" s="20"/>
      <c r="NY149" s="20"/>
      <c r="NZ149" s="20"/>
      <c r="OA149" s="20"/>
      <c r="OB149" s="20"/>
      <c r="OC149" s="20"/>
      <c r="OD149" s="20"/>
      <c r="OE149" s="20"/>
      <c r="OF149" s="20"/>
      <c r="OG149" s="20"/>
      <c r="OH149" s="20"/>
      <c r="OI149" s="20"/>
      <c r="OJ149" s="20"/>
      <c r="OK149" s="20"/>
      <c r="OL149" s="20"/>
      <c r="OM149" s="20"/>
      <c r="ON149" s="20"/>
      <c r="OO149" s="20"/>
      <c r="OP149" s="20"/>
      <c r="OQ149" s="20"/>
      <c r="OR149" s="20"/>
      <c r="OS149" s="20"/>
      <c r="OT149" s="20"/>
      <c r="OU149" s="20"/>
      <c r="OV149" s="20"/>
      <c r="OW149" s="20"/>
      <c r="OX149" s="20"/>
      <c r="OY149" s="20"/>
      <c r="OZ149" s="20"/>
      <c r="PA149" s="20"/>
      <c r="PB149" s="20"/>
      <c r="PC149" s="20"/>
      <c r="PD149" s="20"/>
      <c r="PE149" s="20"/>
      <c r="PF149" s="20"/>
      <c r="PG149" s="20"/>
      <c r="PH149" s="20"/>
      <c r="PI149" s="20"/>
      <c r="PJ149" s="20"/>
      <c r="PK149" s="20"/>
      <c r="PL149" s="20"/>
      <c r="PM149" s="20"/>
      <c r="PN149" s="20"/>
      <c r="PO149" s="20"/>
      <c r="PP149" s="20"/>
      <c r="PQ149" s="20"/>
      <c r="PR149" s="20"/>
      <c r="PS149" s="20"/>
      <c r="PT149" s="20"/>
      <c r="PU149" s="20"/>
      <c r="PV149" s="20"/>
      <c r="PW149" s="20"/>
      <c r="PX149" s="20"/>
      <c r="PY149" s="20"/>
      <c r="PZ149" s="20"/>
      <c r="QA149" s="20"/>
      <c r="QB149" s="20"/>
      <c r="QC149" s="20"/>
      <c r="QD149" s="20"/>
      <c r="QE149" s="20"/>
      <c r="QF149" s="20"/>
      <c r="QG149" s="20"/>
      <c r="QH149" s="20"/>
      <c r="QI149" s="20"/>
      <c r="QJ149" s="20"/>
      <c r="QK149" s="20"/>
      <c r="QL149" s="20"/>
      <c r="QM149" s="20"/>
      <c r="QN149" s="20"/>
      <c r="QO149" s="20"/>
      <c r="QP149" s="20"/>
      <c r="QQ149" s="20"/>
      <c r="QR149" s="20"/>
      <c r="QS149" s="20"/>
      <c r="QT149" s="20"/>
      <c r="QU149" s="20"/>
      <c r="QV149" s="20"/>
      <c r="QW149" s="20"/>
      <c r="QX149" s="20"/>
      <c r="QY149" s="20"/>
      <c r="QZ149" s="20"/>
      <c r="RA149" s="20"/>
      <c r="RB149" s="20"/>
      <c r="RC149" s="20"/>
      <c r="RD149" s="20"/>
      <c r="RE149" s="20"/>
      <c r="RF149" s="20"/>
      <c r="RG149" s="20"/>
      <c r="RH149" s="20"/>
      <c r="RI149" s="20"/>
      <c r="RJ149" s="20"/>
      <c r="RK149" s="20"/>
      <c r="RL149" s="20"/>
      <c r="RM149" s="20"/>
      <c r="RN149" s="20"/>
      <c r="RO149" s="20"/>
      <c r="RP149" s="20"/>
      <c r="RQ149" s="20"/>
      <c r="RR149" s="20"/>
      <c r="RS149" s="20"/>
      <c r="RT149" s="20"/>
      <c r="RU149" s="20"/>
      <c r="RV149" s="20"/>
      <c r="RW149" s="20"/>
      <c r="RX149" s="20"/>
      <c r="RY149" s="20"/>
      <c r="RZ149" s="20"/>
      <c r="SA149" s="20"/>
      <c r="SB149" s="20"/>
      <c r="SC149" s="20"/>
      <c r="SD149" s="20"/>
      <c r="SE149" s="20"/>
      <c r="SF149" s="20"/>
      <c r="SG149" s="20"/>
      <c r="SH149" s="20"/>
      <c r="SI149" s="20"/>
      <c r="SJ149" s="20"/>
      <c r="SK149" s="20"/>
      <c r="SL149" s="20"/>
      <c r="SM149" s="20"/>
      <c r="SN149" s="20"/>
      <c r="SO149" s="20"/>
      <c r="SP149" s="20"/>
      <c r="SQ149" s="20"/>
      <c r="SR149" s="20"/>
      <c r="SS149" s="20"/>
      <c r="ST149" s="20"/>
      <c r="SU149" s="20"/>
      <c r="SV149" s="20"/>
      <c r="SW149" s="20"/>
      <c r="SX149" s="20"/>
      <c r="SY149" s="20"/>
      <c r="SZ149" s="20"/>
      <c r="TA149" s="20"/>
      <c r="TB149" s="20"/>
      <c r="TC149" s="20"/>
      <c r="TD149" s="20"/>
      <c r="TE149" s="20"/>
      <c r="TF149" s="20"/>
      <c r="TG149" s="20"/>
      <c r="TH149" s="20"/>
      <c r="TI149" s="20"/>
      <c r="TJ149" s="20"/>
      <c r="TK149" s="20"/>
      <c r="TL149" s="20"/>
      <c r="TM149" s="20"/>
      <c r="TN149" s="20"/>
      <c r="TO149" s="20"/>
      <c r="TP149" s="20"/>
      <c r="TQ149" s="20"/>
      <c r="TR149" s="20"/>
      <c r="TS149" s="20"/>
      <c r="TT149" s="20"/>
      <c r="TU149" s="20"/>
      <c r="TV149" s="20"/>
      <c r="TW149" s="20"/>
      <c r="TX149" s="20"/>
      <c r="TY149" s="20"/>
      <c r="TZ149" s="20"/>
      <c r="UA149" s="20"/>
      <c r="UB149" s="20"/>
      <c r="UC149" s="20"/>
      <c r="UD149" s="20"/>
      <c r="UE149" s="20"/>
      <c r="UF149" s="20"/>
      <c r="UG149" s="20"/>
      <c r="UH149" s="20"/>
      <c r="UI149" s="20"/>
      <c r="UJ149" s="20"/>
      <c r="UK149" s="20"/>
      <c r="UL149" s="20"/>
      <c r="UM149" s="20"/>
      <c r="UN149" s="20"/>
      <c r="UO149" s="20"/>
      <c r="UP149" s="20"/>
      <c r="UQ149" s="20"/>
      <c r="UR149" s="20"/>
      <c r="US149" s="20"/>
      <c r="UT149" s="20"/>
      <c r="UU149" s="20"/>
      <c r="UV149" s="20"/>
      <c r="UW149" s="20"/>
      <c r="UX149" s="20"/>
      <c r="UY149" s="20"/>
      <c r="UZ149" s="20"/>
      <c r="VA149" s="20"/>
      <c r="VB149" s="20"/>
      <c r="VC149" s="20"/>
      <c r="VD149" s="20"/>
      <c r="VE149" s="20"/>
      <c r="VF149" s="20"/>
      <c r="VG149" s="20"/>
      <c r="VH149" s="20"/>
      <c r="VI149" s="20"/>
      <c r="VJ149" s="20"/>
      <c r="VK149" s="20"/>
      <c r="VL149" s="20"/>
      <c r="VM149" s="20"/>
      <c r="VN149" s="20"/>
      <c r="VO149" s="20"/>
      <c r="VP149" s="20"/>
      <c r="VQ149" s="20"/>
      <c r="VR149" s="20"/>
      <c r="VS149" s="20"/>
      <c r="VT149" s="20"/>
      <c r="VU149" s="20"/>
      <c r="VV149" s="20"/>
      <c r="VW149" s="20"/>
      <c r="VX149" s="20"/>
      <c r="VY149" s="20"/>
      <c r="VZ149" s="20"/>
      <c r="WA149" s="20"/>
      <c r="WB149" s="20"/>
      <c r="WC149" s="20"/>
      <c r="WD149" s="20"/>
      <c r="WE149" s="20"/>
      <c r="WF149" s="20"/>
      <c r="WG149" s="20"/>
      <c r="WH149" s="20"/>
      <c r="WI149" s="20"/>
      <c r="WJ149" s="20"/>
      <c r="WK149" s="20"/>
      <c r="WL149" s="20"/>
      <c r="WM149" s="20"/>
      <c r="WN149" s="20"/>
      <c r="WO149" s="20"/>
      <c r="WP149" s="20"/>
      <c r="WQ149" s="20"/>
      <c r="WR149" s="20"/>
      <c r="WS149" s="20"/>
      <c r="WT149" s="20"/>
      <c r="WU149" s="20"/>
      <c r="WV149" s="20"/>
      <c r="WW149" s="20"/>
      <c r="WX149" s="20"/>
      <c r="WY149" s="20"/>
      <c r="WZ149" s="20"/>
      <c r="XA149" s="20"/>
      <c r="XB149" s="20"/>
      <c r="XC149" s="20"/>
      <c r="XD149" s="20"/>
      <c r="XE149" s="20"/>
      <c r="XF149" s="20"/>
      <c r="XG149" s="20"/>
      <c r="XH149" s="20"/>
      <c r="XI149" s="20"/>
      <c r="XJ149" s="20"/>
      <c r="XK149" s="20"/>
      <c r="XL149" s="20"/>
      <c r="XM149" s="20"/>
      <c r="XN149" s="20"/>
      <c r="XO149" s="20"/>
      <c r="XP149" s="20"/>
      <c r="XQ149" s="20"/>
      <c r="XR149" s="20"/>
      <c r="XS149" s="20"/>
      <c r="XT149" s="20"/>
      <c r="XU149" s="20"/>
      <c r="XV149" s="20"/>
      <c r="XW149" s="20"/>
      <c r="XX149" s="20"/>
      <c r="XY149" s="20"/>
      <c r="XZ149" s="20"/>
      <c r="YA149" s="20"/>
      <c r="YB149" s="20"/>
      <c r="YC149" s="20"/>
      <c r="YD149" s="20"/>
      <c r="YE149" s="20"/>
      <c r="YF149" s="20"/>
      <c r="YG149" s="20"/>
      <c r="YH149" s="20"/>
      <c r="YI149" s="20"/>
      <c r="YJ149" s="20"/>
      <c r="YK149" s="20"/>
      <c r="YL149" s="20"/>
      <c r="YM149" s="20"/>
      <c r="YN149" s="20"/>
      <c r="YO149" s="20"/>
      <c r="YP149" s="20"/>
      <c r="YQ149" s="20"/>
      <c r="YR149" s="20"/>
      <c r="YS149" s="20"/>
      <c r="YT149" s="20"/>
      <c r="YU149" s="20"/>
      <c r="YV149" s="20"/>
      <c r="YW149" s="20"/>
      <c r="YX149" s="20"/>
      <c r="YY149" s="20"/>
      <c r="YZ149" s="20"/>
      <c r="ZA149" s="20"/>
      <c r="ZB149" s="20"/>
      <c r="ZC149" s="20"/>
      <c r="ZD149" s="20"/>
      <c r="ZE149" s="20"/>
      <c r="ZF149" s="20"/>
      <c r="ZG149" s="20"/>
      <c r="ZH149" s="20"/>
      <c r="ZI149" s="20"/>
      <c r="ZJ149" s="20"/>
      <c r="ZK149" s="20"/>
      <c r="ZL149" s="20"/>
      <c r="ZM149" s="20"/>
      <c r="ZN149" s="20"/>
      <c r="ZO149" s="20"/>
      <c r="ZP149" s="20"/>
      <c r="ZQ149" s="20"/>
      <c r="ZR149" s="20"/>
      <c r="ZS149" s="20"/>
      <c r="ZT149" s="20"/>
      <c r="ZU149" s="20"/>
      <c r="ZV149" s="20"/>
      <c r="ZW149" s="20"/>
      <c r="ZX149" s="20"/>
      <c r="ZY149" s="20"/>
      <c r="ZZ149" s="20"/>
      <c r="AAA149" s="20"/>
      <c r="AAB149" s="20"/>
      <c r="AAC149" s="20"/>
      <c r="AAD149" s="20"/>
      <c r="AAE149" s="20"/>
      <c r="AAF149" s="20"/>
      <c r="AAG149" s="20"/>
      <c r="AAH149" s="20"/>
      <c r="AAI149" s="20"/>
      <c r="AAJ149" s="20"/>
      <c r="AAK149" s="20"/>
      <c r="AAL149" s="20"/>
      <c r="AAM149" s="20"/>
      <c r="AAN149" s="20"/>
      <c r="AAO149" s="20"/>
      <c r="AAP149" s="20"/>
      <c r="AAQ149" s="20"/>
      <c r="AAR149" s="20"/>
      <c r="AAS149" s="20"/>
      <c r="AAT149" s="20"/>
      <c r="AAU149" s="20"/>
      <c r="AAV149" s="20"/>
      <c r="AAW149" s="20"/>
      <c r="AAX149" s="20"/>
      <c r="AAY149" s="20"/>
      <c r="AAZ149" s="20"/>
      <c r="ABA149" s="20"/>
      <c r="ABB149" s="20"/>
      <c r="ABC149" s="20"/>
      <c r="ABD149" s="20"/>
      <c r="ABE149" s="20"/>
      <c r="ABF149" s="20"/>
      <c r="ABG149" s="20"/>
      <c r="ABH149" s="20"/>
      <c r="ABI149" s="20"/>
      <c r="ABJ149" s="20"/>
      <c r="ABK149" s="20"/>
      <c r="ABL149" s="20"/>
      <c r="ABM149" s="20"/>
      <c r="ABN149" s="20"/>
      <c r="ABO149" s="20"/>
      <c r="ABP149" s="20"/>
      <c r="ABQ149" s="20"/>
      <c r="ABR149" s="20"/>
      <c r="ABS149" s="20"/>
      <c r="ABT149" s="20"/>
      <c r="ABU149" s="20"/>
      <c r="ABV149" s="20"/>
      <c r="ABW149" s="20"/>
      <c r="ABX149" s="20"/>
      <c r="ABY149" s="20"/>
      <c r="ABZ149" s="20"/>
      <c r="ACA149" s="20"/>
      <c r="ACB149" s="20"/>
      <c r="ACC149" s="20"/>
      <c r="ACD149" s="20"/>
      <c r="ACE149" s="20"/>
      <c r="ACF149" s="20"/>
      <c r="ACG149" s="20"/>
      <c r="ACH149" s="20"/>
      <c r="ACI149" s="20"/>
      <c r="ACJ149" s="20"/>
      <c r="ACK149" s="20"/>
      <c r="ACL149" s="20"/>
      <c r="ACM149" s="20"/>
      <c r="ACN149" s="20"/>
      <c r="ACO149" s="20"/>
      <c r="ACP149" s="20"/>
      <c r="ACQ149" s="20"/>
    </row>
    <row r="150" spans="1:771" s="62" customFormat="1" ht="119.1">
      <c r="A150" s="20"/>
      <c r="B150" s="61" t="s">
        <v>669</v>
      </c>
      <c r="D150" s="61" t="s">
        <v>115</v>
      </c>
      <c r="F150" s="63" t="s">
        <v>115</v>
      </c>
      <c r="H150" s="61" t="s">
        <v>124</v>
      </c>
      <c r="J150" s="61" t="s">
        <v>659</v>
      </c>
      <c r="L150" s="61" t="s">
        <v>74</v>
      </c>
      <c r="N150" s="61" t="s">
        <v>103</v>
      </c>
      <c r="P150" s="61" t="s">
        <v>670</v>
      </c>
      <c r="R150" s="61" t="s">
        <v>77</v>
      </c>
      <c r="T150" s="65" t="s">
        <v>671</v>
      </c>
      <c r="U150" s="66"/>
      <c r="V150" s="67" t="s">
        <v>79</v>
      </c>
      <c r="W150" s="68"/>
      <c r="X150" s="67" t="s">
        <v>80</v>
      </c>
      <c r="Y150" s="68"/>
      <c r="Z150" s="67" t="s">
        <v>80</v>
      </c>
      <c r="AA150" s="68"/>
      <c r="AB150" s="67" t="s">
        <v>80</v>
      </c>
      <c r="AD150" s="63" t="s">
        <v>672</v>
      </c>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c r="IF150" s="20"/>
      <c r="IG150" s="20"/>
      <c r="IH150" s="20"/>
      <c r="II150" s="20"/>
      <c r="IJ150" s="20"/>
      <c r="IK150" s="20"/>
      <c r="IL150" s="20"/>
      <c r="IM150" s="20"/>
      <c r="IN150" s="20"/>
      <c r="IO150" s="20"/>
      <c r="IP150" s="20"/>
      <c r="IQ150" s="20"/>
      <c r="IR150" s="20"/>
      <c r="IS150" s="20"/>
      <c r="IT150" s="20"/>
      <c r="IU150" s="20"/>
      <c r="IV150" s="20"/>
      <c r="IW150" s="20"/>
      <c r="IX150" s="20"/>
      <c r="IY150" s="20"/>
      <c r="IZ150" s="20"/>
      <c r="JA150" s="20"/>
      <c r="JB150" s="20"/>
      <c r="JC150" s="20"/>
      <c r="JD150" s="20"/>
      <c r="JE150" s="20"/>
      <c r="JF150" s="20"/>
      <c r="JG150" s="20"/>
      <c r="JH150" s="20"/>
      <c r="JI150" s="20"/>
      <c r="JJ150" s="20"/>
      <c r="JK150" s="20"/>
      <c r="JL150" s="20"/>
      <c r="JM150" s="20"/>
      <c r="JN150" s="20"/>
      <c r="JO150" s="20"/>
      <c r="JP150" s="20"/>
      <c r="JQ150" s="20"/>
      <c r="JR150" s="20"/>
      <c r="JS150" s="20"/>
      <c r="JT150" s="20"/>
      <c r="JU150" s="20"/>
      <c r="JV150" s="20"/>
      <c r="JW150" s="20"/>
      <c r="JX150" s="20"/>
      <c r="JY150" s="20"/>
      <c r="JZ150" s="20"/>
      <c r="KA150" s="20"/>
      <c r="KB150" s="20"/>
      <c r="KC150" s="20"/>
      <c r="KD150" s="20"/>
      <c r="KE150" s="20"/>
      <c r="KF150" s="20"/>
      <c r="KG150" s="20"/>
      <c r="KH150" s="20"/>
      <c r="KI150" s="20"/>
      <c r="KJ150" s="20"/>
      <c r="KK150" s="20"/>
      <c r="KL150" s="20"/>
      <c r="KM150" s="20"/>
      <c r="KN150" s="20"/>
      <c r="KO150" s="20"/>
      <c r="KP150" s="20"/>
      <c r="KQ150" s="20"/>
      <c r="KR150" s="20"/>
      <c r="KS150" s="20"/>
      <c r="KT150" s="20"/>
      <c r="KU150" s="20"/>
      <c r="KV150" s="20"/>
      <c r="KW150" s="20"/>
      <c r="KX150" s="20"/>
      <c r="KY150" s="20"/>
      <c r="KZ150" s="20"/>
      <c r="LA150" s="20"/>
      <c r="LB150" s="20"/>
      <c r="LC150" s="20"/>
      <c r="LD150" s="20"/>
      <c r="LE150" s="20"/>
      <c r="LF150" s="20"/>
      <c r="LG150" s="20"/>
      <c r="LH150" s="20"/>
      <c r="LI150" s="20"/>
      <c r="LJ150" s="20"/>
      <c r="LK150" s="20"/>
      <c r="LL150" s="20"/>
      <c r="LM150" s="20"/>
      <c r="LN150" s="20"/>
      <c r="LO150" s="20"/>
      <c r="LP150" s="20"/>
      <c r="LQ150" s="20"/>
      <c r="LR150" s="20"/>
      <c r="LS150" s="20"/>
      <c r="LT150" s="20"/>
      <c r="LU150" s="20"/>
      <c r="LV150" s="20"/>
      <c r="LW150" s="20"/>
      <c r="LX150" s="20"/>
      <c r="LY150" s="20"/>
      <c r="LZ150" s="20"/>
      <c r="MA150" s="20"/>
      <c r="MB150" s="20"/>
      <c r="MC150" s="20"/>
      <c r="MD150" s="20"/>
      <c r="ME150" s="20"/>
      <c r="MF150" s="20"/>
      <c r="MG150" s="20"/>
      <c r="MH150" s="20"/>
      <c r="MI150" s="20"/>
      <c r="MJ150" s="20"/>
      <c r="MK150" s="20"/>
      <c r="ML150" s="20"/>
      <c r="MM150" s="20"/>
      <c r="MN150" s="20"/>
      <c r="MO150" s="20"/>
      <c r="MP150" s="20"/>
      <c r="MQ150" s="20"/>
      <c r="MR150" s="20"/>
      <c r="MS150" s="20"/>
      <c r="MT150" s="20"/>
      <c r="MU150" s="20"/>
      <c r="MV150" s="20"/>
      <c r="MW150" s="20"/>
      <c r="MX150" s="20"/>
      <c r="MY150" s="20"/>
      <c r="MZ150" s="20"/>
      <c r="NA150" s="20"/>
      <c r="NB150" s="20"/>
      <c r="NC150" s="20"/>
      <c r="ND150" s="20"/>
      <c r="NE150" s="20"/>
      <c r="NF150" s="20"/>
      <c r="NG150" s="20"/>
      <c r="NH150" s="20"/>
      <c r="NI150" s="20"/>
      <c r="NJ150" s="20"/>
      <c r="NK150" s="20"/>
      <c r="NL150" s="20"/>
      <c r="NM150" s="20"/>
      <c r="NN150" s="20"/>
      <c r="NO150" s="20"/>
      <c r="NP150" s="20"/>
      <c r="NQ150" s="20"/>
      <c r="NR150" s="20"/>
      <c r="NS150" s="20"/>
      <c r="NT150" s="20"/>
      <c r="NU150" s="20"/>
      <c r="NV150" s="20"/>
      <c r="NW150" s="20"/>
      <c r="NX150" s="20"/>
      <c r="NY150" s="20"/>
      <c r="NZ150" s="20"/>
      <c r="OA150" s="20"/>
      <c r="OB150" s="20"/>
      <c r="OC150" s="20"/>
      <c r="OD150" s="20"/>
      <c r="OE150" s="20"/>
      <c r="OF150" s="20"/>
      <c r="OG150" s="20"/>
      <c r="OH150" s="20"/>
      <c r="OI150" s="20"/>
      <c r="OJ150" s="20"/>
      <c r="OK150" s="20"/>
      <c r="OL150" s="20"/>
      <c r="OM150" s="20"/>
      <c r="ON150" s="20"/>
      <c r="OO150" s="20"/>
      <c r="OP150" s="20"/>
      <c r="OQ150" s="20"/>
      <c r="OR150" s="20"/>
      <c r="OS150" s="20"/>
      <c r="OT150" s="20"/>
      <c r="OU150" s="20"/>
      <c r="OV150" s="20"/>
      <c r="OW150" s="20"/>
      <c r="OX150" s="20"/>
      <c r="OY150" s="20"/>
      <c r="OZ150" s="20"/>
      <c r="PA150" s="20"/>
      <c r="PB150" s="20"/>
      <c r="PC150" s="20"/>
      <c r="PD150" s="20"/>
      <c r="PE150" s="20"/>
      <c r="PF150" s="20"/>
      <c r="PG150" s="20"/>
      <c r="PH150" s="20"/>
      <c r="PI150" s="20"/>
      <c r="PJ150" s="20"/>
      <c r="PK150" s="20"/>
      <c r="PL150" s="20"/>
      <c r="PM150" s="20"/>
      <c r="PN150" s="20"/>
      <c r="PO150" s="20"/>
      <c r="PP150" s="20"/>
      <c r="PQ150" s="20"/>
      <c r="PR150" s="20"/>
      <c r="PS150" s="20"/>
      <c r="PT150" s="20"/>
      <c r="PU150" s="20"/>
      <c r="PV150" s="20"/>
      <c r="PW150" s="20"/>
      <c r="PX150" s="20"/>
      <c r="PY150" s="20"/>
      <c r="PZ150" s="20"/>
      <c r="QA150" s="20"/>
      <c r="QB150" s="20"/>
      <c r="QC150" s="20"/>
      <c r="QD150" s="20"/>
      <c r="QE150" s="20"/>
      <c r="QF150" s="20"/>
      <c r="QG150" s="20"/>
      <c r="QH150" s="20"/>
      <c r="QI150" s="20"/>
      <c r="QJ150" s="20"/>
      <c r="QK150" s="20"/>
      <c r="QL150" s="20"/>
      <c r="QM150" s="20"/>
      <c r="QN150" s="20"/>
      <c r="QO150" s="20"/>
      <c r="QP150" s="20"/>
      <c r="QQ150" s="20"/>
      <c r="QR150" s="20"/>
      <c r="QS150" s="20"/>
      <c r="QT150" s="20"/>
      <c r="QU150" s="20"/>
      <c r="QV150" s="20"/>
      <c r="QW150" s="20"/>
      <c r="QX150" s="20"/>
      <c r="QY150" s="20"/>
      <c r="QZ150" s="20"/>
      <c r="RA150" s="20"/>
      <c r="RB150" s="20"/>
      <c r="RC150" s="20"/>
      <c r="RD150" s="20"/>
      <c r="RE150" s="20"/>
      <c r="RF150" s="20"/>
      <c r="RG150" s="20"/>
      <c r="RH150" s="20"/>
      <c r="RI150" s="20"/>
      <c r="RJ150" s="20"/>
      <c r="RK150" s="20"/>
      <c r="RL150" s="20"/>
      <c r="RM150" s="20"/>
      <c r="RN150" s="20"/>
      <c r="RO150" s="20"/>
      <c r="RP150" s="20"/>
      <c r="RQ150" s="20"/>
      <c r="RR150" s="20"/>
      <c r="RS150" s="20"/>
      <c r="RT150" s="20"/>
      <c r="RU150" s="20"/>
      <c r="RV150" s="20"/>
      <c r="RW150" s="20"/>
      <c r="RX150" s="20"/>
      <c r="RY150" s="20"/>
      <c r="RZ150" s="20"/>
      <c r="SA150" s="20"/>
      <c r="SB150" s="20"/>
      <c r="SC150" s="20"/>
      <c r="SD150" s="20"/>
      <c r="SE150" s="20"/>
      <c r="SF150" s="20"/>
      <c r="SG150" s="20"/>
      <c r="SH150" s="20"/>
      <c r="SI150" s="20"/>
      <c r="SJ150" s="20"/>
      <c r="SK150" s="20"/>
      <c r="SL150" s="20"/>
      <c r="SM150" s="20"/>
      <c r="SN150" s="20"/>
      <c r="SO150" s="20"/>
      <c r="SP150" s="20"/>
      <c r="SQ150" s="20"/>
      <c r="SR150" s="20"/>
      <c r="SS150" s="20"/>
      <c r="ST150" s="20"/>
      <c r="SU150" s="20"/>
      <c r="SV150" s="20"/>
      <c r="SW150" s="20"/>
      <c r="SX150" s="20"/>
      <c r="SY150" s="20"/>
      <c r="SZ150" s="20"/>
      <c r="TA150" s="20"/>
      <c r="TB150" s="20"/>
      <c r="TC150" s="20"/>
      <c r="TD150" s="20"/>
      <c r="TE150" s="20"/>
      <c r="TF150" s="20"/>
      <c r="TG150" s="20"/>
      <c r="TH150" s="20"/>
      <c r="TI150" s="20"/>
      <c r="TJ150" s="20"/>
      <c r="TK150" s="20"/>
      <c r="TL150" s="20"/>
      <c r="TM150" s="20"/>
      <c r="TN150" s="20"/>
      <c r="TO150" s="20"/>
      <c r="TP150" s="20"/>
      <c r="TQ150" s="20"/>
      <c r="TR150" s="20"/>
      <c r="TS150" s="20"/>
      <c r="TT150" s="20"/>
      <c r="TU150" s="20"/>
      <c r="TV150" s="20"/>
      <c r="TW150" s="20"/>
      <c r="TX150" s="20"/>
      <c r="TY150" s="20"/>
      <c r="TZ150" s="20"/>
      <c r="UA150" s="20"/>
      <c r="UB150" s="20"/>
      <c r="UC150" s="20"/>
      <c r="UD150" s="20"/>
      <c r="UE150" s="20"/>
      <c r="UF150" s="20"/>
      <c r="UG150" s="20"/>
      <c r="UH150" s="20"/>
      <c r="UI150" s="20"/>
      <c r="UJ150" s="20"/>
      <c r="UK150" s="20"/>
      <c r="UL150" s="20"/>
      <c r="UM150" s="20"/>
      <c r="UN150" s="20"/>
      <c r="UO150" s="20"/>
      <c r="UP150" s="20"/>
      <c r="UQ150" s="20"/>
      <c r="UR150" s="20"/>
      <c r="US150" s="20"/>
      <c r="UT150" s="20"/>
      <c r="UU150" s="20"/>
      <c r="UV150" s="20"/>
      <c r="UW150" s="20"/>
      <c r="UX150" s="20"/>
      <c r="UY150" s="20"/>
      <c r="UZ150" s="20"/>
      <c r="VA150" s="20"/>
      <c r="VB150" s="20"/>
      <c r="VC150" s="20"/>
      <c r="VD150" s="20"/>
      <c r="VE150" s="20"/>
      <c r="VF150" s="20"/>
      <c r="VG150" s="20"/>
      <c r="VH150" s="20"/>
      <c r="VI150" s="20"/>
      <c r="VJ150" s="20"/>
      <c r="VK150" s="20"/>
      <c r="VL150" s="20"/>
      <c r="VM150" s="20"/>
      <c r="VN150" s="20"/>
      <c r="VO150" s="20"/>
      <c r="VP150" s="20"/>
      <c r="VQ150" s="20"/>
      <c r="VR150" s="20"/>
      <c r="VS150" s="20"/>
      <c r="VT150" s="20"/>
      <c r="VU150" s="20"/>
      <c r="VV150" s="20"/>
      <c r="VW150" s="20"/>
      <c r="VX150" s="20"/>
      <c r="VY150" s="20"/>
      <c r="VZ150" s="20"/>
      <c r="WA150" s="20"/>
      <c r="WB150" s="20"/>
      <c r="WC150" s="20"/>
      <c r="WD150" s="20"/>
      <c r="WE150" s="20"/>
      <c r="WF150" s="20"/>
      <c r="WG150" s="20"/>
      <c r="WH150" s="20"/>
      <c r="WI150" s="20"/>
      <c r="WJ150" s="20"/>
      <c r="WK150" s="20"/>
      <c r="WL150" s="20"/>
      <c r="WM150" s="20"/>
      <c r="WN150" s="20"/>
      <c r="WO150" s="20"/>
      <c r="WP150" s="20"/>
      <c r="WQ150" s="20"/>
      <c r="WR150" s="20"/>
      <c r="WS150" s="20"/>
      <c r="WT150" s="20"/>
      <c r="WU150" s="20"/>
      <c r="WV150" s="20"/>
      <c r="WW150" s="20"/>
      <c r="WX150" s="20"/>
      <c r="WY150" s="20"/>
      <c r="WZ150" s="20"/>
      <c r="XA150" s="20"/>
      <c r="XB150" s="20"/>
      <c r="XC150" s="20"/>
      <c r="XD150" s="20"/>
      <c r="XE150" s="20"/>
      <c r="XF150" s="20"/>
      <c r="XG150" s="20"/>
      <c r="XH150" s="20"/>
      <c r="XI150" s="20"/>
      <c r="XJ150" s="20"/>
      <c r="XK150" s="20"/>
      <c r="XL150" s="20"/>
      <c r="XM150" s="20"/>
      <c r="XN150" s="20"/>
      <c r="XO150" s="20"/>
      <c r="XP150" s="20"/>
      <c r="XQ150" s="20"/>
      <c r="XR150" s="20"/>
      <c r="XS150" s="20"/>
      <c r="XT150" s="20"/>
      <c r="XU150" s="20"/>
      <c r="XV150" s="20"/>
      <c r="XW150" s="20"/>
      <c r="XX150" s="20"/>
      <c r="XY150" s="20"/>
      <c r="XZ150" s="20"/>
      <c r="YA150" s="20"/>
      <c r="YB150" s="20"/>
      <c r="YC150" s="20"/>
      <c r="YD150" s="20"/>
      <c r="YE150" s="20"/>
      <c r="YF150" s="20"/>
      <c r="YG150" s="20"/>
      <c r="YH150" s="20"/>
      <c r="YI150" s="20"/>
      <c r="YJ150" s="20"/>
      <c r="YK150" s="20"/>
      <c r="YL150" s="20"/>
      <c r="YM150" s="20"/>
      <c r="YN150" s="20"/>
      <c r="YO150" s="20"/>
      <c r="YP150" s="20"/>
      <c r="YQ150" s="20"/>
      <c r="YR150" s="20"/>
      <c r="YS150" s="20"/>
      <c r="YT150" s="20"/>
      <c r="YU150" s="20"/>
      <c r="YV150" s="20"/>
      <c r="YW150" s="20"/>
      <c r="YX150" s="20"/>
      <c r="YY150" s="20"/>
      <c r="YZ150" s="20"/>
      <c r="ZA150" s="20"/>
      <c r="ZB150" s="20"/>
      <c r="ZC150" s="20"/>
      <c r="ZD150" s="20"/>
      <c r="ZE150" s="20"/>
      <c r="ZF150" s="20"/>
      <c r="ZG150" s="20"/>
      <c r="ZH150" s="20"/>
      <c r="ZI150" s="20"/>
      <c r="ZJ150" s="20"/>
      <c r="ZK150" s="20"/>
      <c r="ZL150" s="20"/>
      <c r="ZM150" s="20"/>
      <c r="ZN150" s="20"/>
      <c r="ZO150" s="20"/>
      <c r="ZP150" s="20"/>
      <c r="ZQ150" s="20"/>
      <c r="ZR150" s="20"/>
      <c r="ZS150" s="20"/>
      <c r="ZT150" s="20"/>
      <c r="ZU150" s="20"/>
      <c r="ZV150" s="20"/>
      <c r="ZW150" s="20"/>
      <c r="ZX150" s="20"/>
      <c r="ZY150" s="20"/>
      <c r="ZZ150" s="20"/>
      <c r="AAA150" s="20"/>
      <c r="AAB150" s="20"/>
      <c r="AAC150" s="20"/>
      <c r="AAD150" s="20"/>
      <c r="AAE150" s="20"/>
      <c r="AAF150" s="20"/>
      <c r="AAG150" s="20"/>
      <c r="AAH150" s="20"/>
      <c r="AAI150" s="20"/>
      <c r="AAJ150" s="20"/>
      <c r="AAK150" s="20"/>
      <c r="AAL150" s="20"/>
      <c r="AAM150" s="20"/>
      <c r="AAN150" s="20"/>
      <c r="AAO150" s="20"/>
      <c r="AAP150" s="20"/>
      <c r="AAQ150" s="20"/>
      <c r="AAR150" s="20"/>
      <c r="AAS150" s="20"/>
      <c r="AAT150" s="20"/>
      <c r="AAU150" s="20"/>
      <c r="AAV150" s="20"/>
      <c r="AAW150" s="20"/>
      <c r="AAX150" s="20"/>
      <c r="AAY150" s="20"/>
      <c r="AAZ150" s="20"/>
      <c r="ABA150" s="20"/>
      <c r="ABB150" s="20"/>
      <c r="ABC150" s="20"/>
      <c r="ABD150" s="20"/>
      <c r="ABE150" s="20"/>
      <c r="ABF150" s="20"/>
      <c r="ABG150" s="20"/>
      <c r="ABH150" s="20"/>
      <c r="ABI150" s="20"/>
      <c r="ABJ150" s="20"/>
      <c r="ABK150" s="20"/>
      <c r="ABL150" s="20"/>
      <c r="ABM150" s="20"/>
      <c r="ABN150" s="20"/>
      <c r="ABO150" s="20"/>
      <c r="ABP150" s="20"/>
      <c r="ABQ150" s="20"/>
      <c r="ABR150" s="20"/>
      <c r="ABS150" s="20"/>
      <c r="ABT150" s="20"/>
      <c r="ABU150" s="20"/>
      <c r="ABV150" s="20"/>
      <c r="ABW150" s="20"/>
      <c r="ABX150" s="20"/>
      <c r="ABY150" s="20"/>
      <c r="ABZ150" s="20"/>
      <c r="ACA150" s="20"/>
      <c r="ACB150" s="20"/>
      <c r="ACC150" s="20"/>
      <c r="ACD150" s="20"/>
      <c r="ACE150" s="20"/>
      <c r="ACF150" s="20"/>
      <c r="ACG150" s="20"/>
      <c r="ACH150" s="20"/>
      <c r="ACI150" s="20"/>
      <c r="ACJ150" s="20"/>
      <c r="ACK150" s="20"/>
      <c r="ACL150" s="20"/>
      <c r="ACM150" s="20"/>
      <c r="ACN150" s="20"/>
      <c r="ACO150" s="20"/>
      <c r="ACP150" s="20"/>
      <c r="ACQ150" s="20"/>
    </row>
    <row r="151" spans="1:771" s="62" customFormat="1" ht="102">
      <c r="A151" s="20"/>
      <c r="B151" s="61" t="s">
        <v>673</v>
      </c>
      <c r="D151" s="61" t="s">
        <v>123</v>
      </c>
      <c r="F151" s="63" t="s">
        <v>123</v>
      </c>
      <c r="H151" s="61" t="s">
        <v>72</v>
      </c>
      <c r="J151" s="61" t="s">
        <v>659</v>
      </c>
      <c r="L151" s="61" t="s">
        <v>74</v>
      </c>
      <c r="N151" s="61" t="s">
        <v>103</v>
      </c>
      <c r="P151" s="61" t="s">
        <v>674</v>
      </c>
      <c r="R151" s="61" t="s">
        <v>77</v>
      </c>
      <c r="T151" s="65" t="s">
        <v>675</v>
      </c>
      <c r="U151" s="66"/>
      <c r="V151" s="67" t="s">
        <v>79</v>
      </c>
      <c r="W151" s="68"/>
      <c r="X151" s="67" t="s">
        <v>80</v>
      </c>
      <c r="Y151" s="68"/>
      <c r="Z151" s="67" t="s">
        <v>80</v>
      </c>
      <c r="AA151" s="68"/>
      <c r="AB151" s="63" t="s">
        <v>128</v>
      </c>
      <c r="AD151" s="63" t="s">
        <v>676</v>
      </c>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0"/>
      <c r="IO151" s="20"/>
      <c r="IP151" s="20"/>
      <c r="IQ151" s="20"/>
      <c r="IR151" s="20"/>
      <c r="IS151" s="20"/>
      <c r="IT151" s="20"/>
      <c r="IU151" s="20"/>
      <c r="IV151" s="20"/>
      <c r="IW151" s="20"/>
      <c r="IX151" s="20"/>
      <c r="IY151" s="20"/>
      <c r="IZ151" s="20"/>
      <c r="JA151" s="20"/>
      <c r="JB151" s="20"/>
      <c r="JC151" s="20"/>
      <c r="JD151" s="20"/>
      <c r="JE151" s="20"/>
      <c r="JF151" s="20"/>
      <c r="JG151" s="20"/>
      <c r="JH151" s="20"/>
      <c r="JI151" s="20"/>
      <c r="JJ151" s="20"/>
      <c r="JK151" s="20"/>
      <c r="JL151" s="20"/>
      <c r="JM151" s="20"/>
      <c r="JN151" s="20"/>
      <c r="JO151" s="20"/>
      <c r="JP151" s="20"/>
      <c r="JQ151" s="20"/>
      <c r="JR151" s="20"/>
      <c r="JS151" s="20"/>
      <c r="JT151" s="20"/>
      <c r="JU151" s="20"/>
      <c r="JV151" s="20"/>
      <c r="JW151" s="20"/>
      <c r="JX151" s="20"/>
      <c r="JY151" s="20"/>
      <c r="JZ151" s="20"/>
      <c r="KA151" s="20"/>
      <c r="KB151" s="20"/>
      <c r="KC151" s="20"/>
      <c r="KD151" s="20"/>
      <c r="KE151" s="20"/>
      <c r="KF151" s="20"/>
      <c r="KG151" s="20"/>
      <c r="KH151" s="20"/>
      <c r="KI151" s="20"/>
      <c r="KJ151" s="20"/>
      <c r="KK151" s="20"/>
      <c r="KL151" s="20"/>
      <c r="KM151" s="20"/>
      <c r="KN151" s="20"/>
      <c r="KO151" s="20"/>
      <c r="KP151" s="20"/>
      <c r="KQ151" s="20"/>
      <c r="KR151" s="20"/>
      <c r="KS151" s="20"/>
      <c r="KT151" s="20"/>
      <c r="KU151" s="20"/>
      <c r="KV151" s="20"/>
      <c r="KW151" s="20"/>
      <c r="KX151" s="20"/>
      <c r="KY151" s="20"/>
      <c r="KZ151" s="20"/>
      <c r="LA151" s="20"/>
      <c r="LB151" s="20"/>
      <c r="LC151" s="20"/>
      <c r="LD151" s="20"/>
      <c r="LE151" s="20"/>
      <c r="LF151" s="20"/>
      <c r="LG151" s="20"/>
      <c r="LH151" s="20"/>
      <c r="LI151" s="20"/>
      <c r="LJ151" s="20"/>
      <c r="LK151" s="20"/>
      <c r="LL151" s="20"/>
      <c r="LM151" s="20"/>
      <c r="LN151" s="20"/>
      <c r="LO151" s="20"/>
      <c r="LP151" s="20"/>
      <c r="LQ151" s="20"/>
      <c r="LR151" s="20"/>
      <c r="LS151" s="20"/>
      <c r="LT151" s="20"/>
      <c r="LU151" s="20"/>
      <c r="LV151" s="20"/>
      <c r="LW151" s="20"/>
      <c r="LX151" s="20"/>
      <c r="LY151" s="20"/>
      <c r="LZ151" s="20"/>
      <c r="MA151" s="20"/>
      <c r="MB151" s="20"/>
      <c r="MC151" s="20"/>
      <c r="MD151" s="20"/>
      <c r="ME151" s="20"/>
      <c r="MF151" s="20"/>
      <c r="MG151" s="20"/>
      <c r="MH151" s="20"/>
      <c r="MI151" s="20"/>
      <c r="MJ151" s="20"/>
      <c r="MK151" s="20"/>
      <c r="ML151" s="20"/>
      <c r="MM151" s="20"/>
      <c r="MN151" s="20"/>
      <c r="MO151" s="20"/>
      <c r="MP151" s="20"/>
      <c r="MQ151" s="20"/>
      <c r="MR151" s="20"/>
      <c r="MS151" s="20"/>
      <c r="MT151" s="20"/>
      <c r="MU151" s="20"/>
      <c r="MV151" s="20"/>
      <c r="MW151" s="20"/>
      <c r="MX151" s="20"/>
      <c r="MY151" s="20"/>
      <c r="MZ151" s="20"/>
      <c r="NA151" s="20"/>
      <c r="NB151" s="20"/>
      <c r="NC151" s="20"/>
      <c r="ND151" s="20"/>
      <c r="NE151" s="20"/>
      <c r="NF151" s="20"/>
      <c r="NG151" s="20"/>
      <c r="NH151" s="20"/>
      <c r="NI151" s="20"/>
      <c r="NJ151" s="20"/>
      <c r="NK151" s="20"/>
      <c r="NL151" s="20"/>
      <c r="NM151" s="20"/>
      <c r="NN151" s="20"/>
      <c r="NO151" s="20"/>
      <c r="NP151" s="20"/>
      <c r="NQ151" s="20"/>
      <c r="NR151" s="20"/>
      <c r="NS151" s="20"/>
      <c r="NT151" s="20"/>
      <c r="NU151" s="20"/>
      <c r="NV151" s="20"/>
      <c r="NW151" s="20"/>
      <c r="NX151" s="20"/>
      <c r="NY151" s="20"/>
      <c r="NZ151" s="20"/>
      <c r="OA151" s="20"/>
      <c r="OB151" s="20"/>
      <c r="OC151" s="20"/>
      <c r="OD151" s="20"/>
      <c r="OE151" s="20"/>
      <c r="OF151" s="20"/>
      <c r="OG151" s="20"/>
      <c r="OH151" s="20"/>
      <c r="OI151" s="20"/>
      <c r="OJ151" s="20"/>
      <c r="OK151" s="20"/>
      <c r="OL151" s="20"/>
      <c r="OM151" s="20"/>
      <c r="ON151" s="20"/>
      <c r="OO151" s="20"/>
      <c r="OP151" s="20"/>
      <c r="OQ151" s="20"/>
      <c r="OR151" s="20"/>
      <c r="OS151" s="20"/>
      <c r="OT151" s="20"/>
      <c r="OU151" s="20"/>
      <c r="OV151" s="20"/>
      <c r="OW151" s="20"/>
      <c r="OX151" s="20"/>
      <c r="OY151" s="20"/>
      <c r="OZ151" s="20"/>
      <c r="PA151" s="20"/>
      <c r="PB151" s="20"/>
      <c r="PC151" s="20"/>
      <c r="PD151" s="20"/>
      <c r="PE151" s="20"/>
      <c r="PF151" s="20"/>
      <c r="PG151" s="20"/>
      <c r="PH151" s="20"/>
      <c r="PI151" s="20"/>
      <c r="PJ151" s="20"/>
      <c r="PK151" s="20"/>
      <c r="PL151" s="20"/>
      <c r="PM151" s="20"/>
      <c r="PN151" s="20"/>
      <c r="PO151" s="20"/>
      <c r="PP151" s="20"/>
      <c r="PQ151" s="20"/>
      <c r="PR151" s="20"/>
      <c r="PS151" s="20"/>
      <c r="PT151" s="20"/>
      <c r="PU151" s="20"/>
      <c r="PV151" s="20"/>
      <c r="PW151" s="20"/>
      <c r="PX151" s="20"/>
      <c r="PY151" s="20"/>
      <c r="PZ151" s="20"/>
      <c r="QA151" s="20"/>
      <c r="QB151" s="20"/>
      <c r="QC151" s="20"/>
      <c r="QD151" s="20"/>
      <c r="QE151" s="20"/>
      <c r="QF151" s="20"/>
      <c r="QG151" s="20"/>
      <c r="QH151" s="20"/>
      <c r="QI151" s="20"/>
      <c r="QJ151" s="20"/>
      <c r="QK151" s="20"/>
      <c r="QL151" s="20"/>
      <c r="QM151" s="20"/>
      <c r="QN151" s="20"/>
      <c r="QO151" s="20"/>
      <c r="QP151" s="20"/>
      <c r="QQ151" s="20"/>
      <c r="QR151" s="20"/>
      <c r="QS151" s="20"/>
      <c r="QT151" s="20"/>
      <c r="QU151" s="20"/>
      <c r="QV151" s="20"/>
      <c r="QW151" s="20"/>
      <c r="QX151" s="20"/>
      <c r="QY151" s="20"/>
      <c r="QZ151" s="20"/>
      <c r="RA151" s="20"/>
      <c r="RB151" s="20"/>
      <c r="RC151" s="20"/>
      <c r="RD151" s="20"/>
      <c r="RE151" s="20"/>
      <c r="RF151" s="20"/>
      <c r="RG151" s="20"/>
      <c r="RH151" s="20"/>
      <c r="RI151" s="20"/>
      <c r="RJ151" s="20"/>
      <c r="RK151" s="20"/>
      <c r="RL151" s="20"/>
      <c r="RM151" s="20"/>
      <c r="RN151" s="20"/>
      <c r="RO151" s="20"/>
      <c r="RP151" s="20"/>
      <c r="RQ151" s="20"/>
      <c r="RR151" s="20"/>
      <c r="RS151" s="20"/>
      <c r="RT151" s="20"/>
      <c r="RU151" s="20"/>
      <c r="RV151" s="20"/>
      <c r="RW151" s="20"/>
      <c r="RX151" s="20"/>
      <c r="RY151" s="20"/>
      <c r="RZ151" s="20"/>
      <c r="SA151" s="20"/>
      <c r="SB151" s="20"/>
      <c r="SC151" s="20"/>
      <c r="SD151" s="20"/>
      <c r="SE151" s="20"/>
      <c r="SF151" s="20"/>
      <c r="SG151" s="20"/>
      <c r="SH151" s="20"/>
      <c r="SI151" s="20"/>
      <c r="SJ151" s="20"/>
      <c r="SK151" s="20"/>
      <c r="SL151" s="20"/>
      <c r="SM151" s="20"/>
      <c r="SN151" s="20"/>
      <c r="SO151" s="20"/>
      <c r="SP151" s="20"/>
      <c r="SQ151" s="20"/>
      <c r="SR151" s="20"/>
      <c r="SS151" s="20"/>
      <c r="ST151" s="20"/>
      <c r="SU151" s="20"/>
      <c r="SV151" s="20"/>
      <c r="SW151" s="20"/>
      <c r="SX151" s="20"/>
      <c r="SY151" s="20"/>
      <c r="SZ151" s="20"/>
      <c r="TA151" s="20"/>
      <c r="TB151" s="20"/>
      <c r="TC151" s="20"/>
      <c r="TD151" s="20"/>
      <c r="TE151" s="20"/>
      <c r="TF151" s="20"/>
      <c r="TG151" s="20"/>
      <c r="TH151" s="20"/>
      <c r="TI151" s="20"/>
      <c r="TJ151" s="20"/>
      <c r="TK151" s="20"/>
      <c r="TL151" s="20"/>
      <c r="TM151" s="20"/>
      <c r="TN151" s="20"/>
      <c r="TO151" s="20"/>
      <c r="TP151" s="20"/>
      <c r="TQ151" s="20"/>
      <c r="TR151" s="20"/>
      <c r="TS151" s="20"/>
      <c r="TT151" s="20"/>
      <c r="TU151" s="20"/>
      <c r="TV151" s="20"/>
      <c r="TW151" s="20"/>
      <c r="TX151" s="20"/>
      <c r="TY151" s="20"/>
      <c r="TZ151" s="20"/>
      <c r="UA151" s="20"/>
      <c r="UB151" s="20"/>
      <c r="UC151" s="20"/>
      <c r="UD151" s="20"/>
      <c r="UE151" s="20"/>
      <c r="UF151" s="20"/>
      <c r="UG151" s="20"/>
      <c r="UH151" s="20"/>
      <c r="UI151" s="20"/>
      <c r="UJ151" s="20"/>
      <c r="UK151" s="20"/>
      <c r="UL151" s="20"/>
      <c r="UM151" s="20"/>
      <c r="UN151" s="20"/>
      <c r="UO151" s="20"/>
      <c r="UP151" s="20"/>
      <c r="UQ151" s="20"/>
      <c r="UR151" s="20"/>
      <c r="US151" s="20"/>
      <c r="UT151" s="20"/>
      <c r="UU151" s="20"/>
      <c r="UV151" s="20"/>
      <c r="UW151" s="20"/>
      <c r="UX151" s="20"/>
      <c r="UY151" s="20"/>
      <c r="UZ151" s="20"/>
      <c r="VA151" s="20"/>
      <c r="VB151" s="20"/>
      <c r="VC151" s="20"/>
      <c r="VD151" s="20"/>
      <c r="VE151" s="20"/>
      <c r="VF151" s="20"/>
      <c r="VG151" s="20"/>
      <c r="VH151" s="20"/>
      <c r="VI151" s="20"/>
      <c r="VJ151" s="20"/>
      <c r="VK151" s="20"/>
      <c r="VL151" s="20"/>
      <c r="VM151" s="20"/>
      <c r="VN151" s="20"/>
      <c r="VO151" s="20"/>
      <c r="VP151" s="20"/>
      <c r="VQ151" s="20"/>
      <c r="VR151" s="20"/>
      <c r="VS151" s="20"/>
      <c r="VT151" s="20"/>
      <c r="VU151" s="20"/>
      <c r="VV151" s="20"/>
      <c r="VW151" s="20"/>
      <c r="VX151" s="20"/>
      <c r="VY151" s="20"/>
      <c r="VZ151" s="20"/>
      <c r="WA151" s="20"/>
      <c r="WB151" s="20"/>
      <c r="WC151" s="20"/>
      <c r="WD151" s="20"/>
      <c r="WE151" s="20"/>
      <c r="WF151" s="20"/>
      <c r="WG151" s="20"/>
      <c r="WH151" s="20"/>
      <c r="WI151" s="20"/>
      <c r="WJ151" s="20"/>
      <c r="WK151" s="20"/>
      <c r="WL151" s="20"/>
      <c r="WM151" s="20"/>
      <c r="WN151" s="20"/>
      <c r="WO151" s="20"/>
      <c r="WP151" s="20"/>
      <c r="WQ151" s="20"/>
      <c r="WR151" s="20"/>
      <c r="WS151" s="20"/>
      <c r="WT151" s="20"/>
      <c r="WU151" s="20"/>
      <c r="WV151" s="20"/>
      <c r="WW151" s="20"/>
      <c r="WX151" s="20"/>
      <c r="WY151" s="20"/>
      <c r="WZ151" s="20"/>
      <c r="XA151" s="20"/>
      <c r="XB151" s="20"/>
      <c r="XC151" s="20"/>
      <c r="XD151" s="20"/>
      <c r="XE151" s="20"/>
      <c r="XF151" s="20"/>
      <c r="XG151" s="20"/>
      <c r="XH151" s="20"/>
      <c r="XI151" s="20"/>
      <c r="XJ151" s="20"/>
      <c r="XK151" s="20"/>
      <c r="XL151" s="20"/>
      <c r="XM151" s="20"/>
      <c r="XN151" s="20"/>
      <c r="XO151" s="20"/>
      <c r="XP151" s="20"/>
      <c r="XQ151" s="20"/>
      <c r="XR151" s="20"/>
      <c r="XS151" s="20"/>
      <c r="XT151" s="20"/>
      <c r="XU151" s="20"/>
      <c r="XV151" s="20"/>
      <c r="XW151" s="20"/>
      <c r="XX151" s="20"/>
      <c r="XY151" s="20"/>
      <c r="XZ151" s="20"/>
      <c r="YA151" s="20"/>
      <c r="YB151" s="20"/>
      <c r="YC151" s="20"/>
      <c r="YD151" s="20"/>
      <c r="YE151" s="20"/>
      <c r="YF151" s="20"/>
      <c r="YG151" s="20"/>
      <c r="YH151" s="20"/>
      <c r="YI151" s="20"/>
      <c r="YJ151" s="20"/>
      <c r="YK151" s="20"/>
      <c r="YL151" s="20"/>
      <c r="YM151" s="20"/>
      <c r="YN151" s="20"/>
      <c r="YO151" s="20"/>
      <c r="YP151" s="20"/>
      <c r="YQ151" s="20"/>
      <c r="YR151" s="20"/>
      <c r="YS151" s="20"/>
      <c r="YT151" s="20"/>
      <c r="YU151" s="20"/>
      <c r="YV151" s="20"/>
      <c r="YW151" s="20"/>
      <c r="YX151" s="20"/>
      <c r="YY151" s="20"/>
      <c r="YZ151" s="20"/>
      <c r="ZA151" s="20"/>
      <c r="ZB151" s="20"/>
      <c r="ZC151" s="20"/>
      <c r="ZD151" s="20"/>
      <c r="ZE151" s="20"/>
      <c r="ZF151" s="20"/>
      <c r="ZG151" s="20"/>
      <c r="ZH151" s="20"/>
      <c r="ZI151" s="20"/>
      <c r="ZJ151" s="20"/>
      <c r="ZK151" s="20"/>
      <c r="ZL151" s="20"/>
      <c r="ZM151" s="20"/>
      <c r="ZN151" s="20"/>
      <c r="ZO151" s="20"/>
      <c r="ZP151" s="20"/>
      <c r="ZQ151" s="20"/>
      <c r="ZR151" s="20"/>
      <c r="ZS151" s="20"/>
      <c r="ZT151" s="20"/>
      <c r="ZU151" s="20"/>
      <c r="ZV151" s="20"/>
      <c r="ZW151" s="20"/>
      <c r="ZX151" s="20"/>
      <c r="ZY151" s="20"/>
      <c r="ZZ151" s="20"/>
      <c r="AAA151" s="20"/>
      <c r="AAB151" s="20"/>
      <c r="AAC151" s="20"/>
      <c r="AAD151" s="20"/>
      <c r="AAE151" s="20"/>
      <c r="AAF151" s="20"/>
      <c r="AAG151" s="20"/>
      <c r="AAH151" s="20"/>
      <c r="AAI151" s="20"/>
      <c r="AAJ151" s="20"/>
      <c r="AAK151" s="20"/>
      <c r="AAL151" s="20"/>
      <c r="AAM151" s="20"/>
      <c r="AAN151" s="20"/>
      <c r="AAO151" s="20"/>
      <c r="AAP151" s="20"/>
      <c r="AAQ151" s="20"/>
      <c r="AAR151" s="20"/>
      <c r="AAS151" s="20"/>
      <c r="AAT151" s="20"/>
      <c r="AAU151" s="20"/>
      <c r="AAV151" s="20"/>
      <c r="AAW151" s="20"/>
      <c r="AAX151" s="20"/>
      <c r="AAY151" s="20"/>
      <c r="AAZ151" s="20"/>
      <c r="ABA151" s="20"/>
      <c r="ABB151" s="20"/>
      <c r="ABC151" s="20"/>
      <c r="ABD151" s="20"/>
      <c r="ABE151" s="20"/>
      <c r="ABF151" s="20"/>
      <c r="ABG151" s="20"/>
      <c r="ABH151" s="20"/>
      <c r="ABI151" s="20"/>
      <c r="ABJ151" s="20"/>
      <c r="ABK151" s="20"/>
      <c r="ABL151" s="20"/>
      <c r="ABM151" s="20"/>
      <c r="ABN151" s="20"/>
      <c r="ABO151" s="20"/>
      <c r="ABP151" s="20"/>
      <c r="ABQ151" s="20"/>
      <c r="ABR151" s="20"/>
      <c r="ABS151" s="20"/>
      <c r="ABT151" s="20"/>
      <c r="ABU151" s="20"/>
      <c r="ABV151" s="20"/>
      <c r="ABW151" s="20"/>
      <c r="ABX151" s="20"/>
      <c r="ABY151" s="20"/>
      <c r="ABZ151" s="20"/>
      <c r="ACA151" s="20"/>
      <c r="ACB151" s="20"/>
      <c r="ACC151" s="20"/>
      <c r="ACD151" s="20"/>
      <c r="ACE151" s="20"/>
      <c r="ACF151" s="20"/>
      <c r="ACG151" s="20"/>
      <c r="ACH151" s="20"/>
      <c r="ACI151" s="20"/>
      <c r="ACJ151" s="20"/>
      <c r="ACK151" s="20"/>
      <c r="ACL151" s="20"/>
      <c r="ACM151" s="20"/>
      <c r="ACN151" s="20"/>
      <c r="ACO151" s="20"/>
      <c r="ACP151" s="20"/>
      <c r="ACQ151" s="20"/>
    </row>
    <row r="152" spans="1:771" s="62" customFormat="1" ht="102">
      <c r="A152" s="21"/>
      <c r="B152" s="61" t="s">
        <v>677</v>
      </c>
      <c r="D152" s="61" t="s">
        <v>122</v>
      </c>
      <c r="F152" s="63" t="s">
        <v>123</v>
      </c>
      <c r="H152" s="61" t="s">
        <v>124</v>
      </c>
      <c r="J152" s="61" t="s">
        <v>659</v>
      </c>
      <c r="L152" s="61" t="s">
        <v>74</v>
      </c>
      <c r="N152" s="61" t="s">
        <v>103</v>
      </c>
      <c r="P152" s="61" t="s">
        <v>678</v>
      </c>
      <c r="R152" s="61" t="s">
        <v>77</v>
      </c>
      <c r="T152" s="65" t="s">
        <v>679</v>
      </c>
      <c r="U152" s="66"/>
      <c r="V152" s="67" t="s">
        <v>79</v>
      </c>
      <c r="W152" s="68"/>
      <c r="X152" s="67" t="s">
        <v>80</v>
      </c>
      <c r="Y152" s="68"/>
      <c r="Z152" s="67" t="s">
        <v>80</v>
      </c>
      <c r="AA152" s="68"/>
      <c r="AB152" s="63" t="s">
        <v>128</v>
      </c>
      <c r="AC152" s="69"/>
      <c r="AD152" s="63" t="s">
        <v>680</v>
      </c>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c r="IU152" s="20"/>
      <c r="IV152" s="20"/>
      <c r="IW152" s="20"/>
      <c r="IX152" s="20"/>
      <c r="IY152" s="20"/>
      <c r="IZ152" s="20"/>
      <c r="JA152" s="20"/>
      <c r="JB152" s="20"/>
      <c r="JC152" s="20"/>
      <c r="JD152" s="20"/>
      <c r="JE152" s="20"/>
      <c r="JF152" s="20"/>
      <c r="JG152" s="20"/>
      <c r="JH152" s="20"/>
      <c r="JI152" s="20"/>
      <c r="JJ152" s="20"/>
      <c r="JK152" s="20"/>
      <c r="JL152" s="20"/>
      <c r="JM152" s="20"/>
      <c r="JN152" s="20"/>
      <c r="JO152" s="20"/>
      <c r="JP152" s="20"/>
      <c r="JQ152" s="20"/>
      <c r="JR152" s="20"/>
      <c r="JS152" s="20"/>
      <c r="JT152" s="20"/>
      <c r="JU152" s="20"/>
      <c r="JV152" s="20"/>
      <c r="JW152" s="20"/>
      <c r="JX152" s="20"/>
      <c r="JY152" s="20"/>
      <c r="JZ152" s="20"/>
      <c r="KA152" s="20"/>
      <c r="KB152" s="20"/>
      <c r="KC152" s="20"/>
      <c r="KD152" s="20"/>
      <c r="KE152" s="20"/>
      <c r="KF152" s="20"/>
      <c r="KG152" s="20"/>
      <c r="KH152" s="20"/>
      <c r="KI152" s="20"/>
      <c r="KJ152" s="20"/>
      <c r="KK152" s="20"/>
      <c r="KL152" s="20"/>
      <c r="KM152" s="20"/>
      <c r="KN152" s="20"/>
      <c r="KO152" s="20"/>
      <c r="KP152" s="20"/>
      <c r="KQ152" s="20"/>
      <c r="KR152" s="20"/>
      <c r="KS152" s="20"/>
      <c r="KT152" s="20"/>
      <c r="KU152" s="20"/>
      <c r="KV152" s="20"/>
      <c r="KW152" s="20"/>
      <c r="KX152" s="20"/>
      <c r="KY152" s="20"/>
      <c r="KZ152" s="20"/>
      <c r="LA152" s="20"/>
      <c r="LB152" s="20"/>
      <c r="LC152" s="20"/>
      <c r="LD152" s="20"/>
      <c r="LE152" s="20"/>
      <c r="LF152" s="20"/>
      <c r="LG152" s="20"/>
      <c r="LH152" s="20"/>
      <c r="LI152" s="20"/>
      <c r="LJ152" s="20"/>
      <c r="LK152" s="20"/>
      <c r="LL152" s="20"/>
      <c r="LM152" s="20"/>
      <c r="LN152" s="20"/>
      <c r="LO152" s="20"/>
      <c r="LP152" s="20"/>
      <c r="LQ152" s="20"/>
      <c r="LR152" s="20"/>
      <c r="LS152" s="20"/>
      <c r="LT152" s="20"/>
      <c r="LU152" s="20"/>
      <c r="LV152" s="20"/>
      <c r="LW152" s="20"/>
      <c r="LX152" s="20"/>
      <c r="LY152" s="20"/>
      <c r="LZ152" s="20"/>
      <c r="MA152" s="20"/>
      <c r="MB152" s="20"/>
      <c r="MC152" s="20"/>
      <c r="MD152" s="20"/>
      <c r="ME152" s="20"/>
      <c r="MF152" s="20"/>
      <c r="MG152" s="20"/>
      <c r="MH152" s="20"/>
      <c r="MI152" s="20"/>
      <c r="MJ152" s="20"/>
      <c r="MK152" s="20"/>
      <c r="ML152" s="20"/>
      <c r="MM152" s="20"/>
      <c r="MN152" s="20"/>
      <c r="MO152" s="20"/>
      <c r="MP152" s="20"/>
      <c r="MQ152" s="20"/>
      <c r="MR152" s="20"/>
      <c r="MS152" s="20"/>
      <c r="MT152" s="20"/>
      <c r="MU152" s="20"/>
      <c r="MV152" s="20"/>
      <c r="MW152" s="20"/>
      <c r="MX152" s="20"/>
      <c r="MY152" s="20"/>
      <c r="MZ152" s="20"/>
      <c r="NA152" s="20"/>
      <c r="NB152" s="20"/>
      <c r="NC152" s="20"/>
      <c r="ND152" s="20"/>
      <c r="NE152" s="20"/>
      <c r="NF152" s="20"/>
      <c r="NG152" s="20"/>
      <c r="NH152" s="20"/>
      <c r="NI152" s="20"/>
      <c r="NJ152" s="20"/>
      <c r="NK152" s="20"/>
      <c r="NL152" s="20"/>
      <c r="NM152" s="20"/>
      <c r="NN152" s="20"/>
      <c r="NO152" s="20"/>
      <c r="NP152" s="20"/>
      <c r="NQ152" s="20"/>
      <c r="NR152" s="20"/>
      <c r="NS152" s="20"/>
      <c r="NT152" s="20"/>
      <c r="NU152" s="20"/>
      <c r="NV152" s="20"/>
      <c r="NW152" s="20"/>
      <c r="NX152" s="20"/>
      <c r="NY152" s="20"/>
      <c r="NZ152" s="20"/>
      <c r="OA152" s="20"/>
      <c r="OB152" s="20"/>
      <c r="OC152" s="20"/>
      <c r="OD152" s="20"/>
      <c r="OE152" s="20"/>
      <c r="OF152" s="20"/>
      <c r="OG152" s="20"/>
      <c r="OH152" s="20"/>
      <c r="OI152" s="20"/>
      <c r="OJ152" s="20"/>
      <c r="OK152" s="20"/>
      <c r="OL152" s="20"/>
      <c r="OM152" s="20"/>
      <c r="ON152" s="20"/>
      <c r="OO152" s="20"/>
      <c r="OP152" s="20"/>
      <c r="OQ152" s="20"/>
      <c r="OR152" s="20"/>
      <c r="OS152" s="20"/>
      <c r="OT152" s="20"/>
      <c r="OU152" s="20"/>
      <c r="OV152" s="20"/>
      <c r="OW152" s="20"/>
      <c r="OX152" s="20"/>
      <c r="OY152" s="20"/>
      <c r="OZ152" s="20"/>
      <c r="PA152" s="20"/>
      <c r="PB152" s="20"/>
      <c r="PC152" s="20"/>
      <c r="PD152" s="20"/>
      <c r="PE152" s="20"/>
      <c r="PF152" s="20"/>
      <c r="PG152" s="20"/>
      <c r="PH152" s="20"/>
      <c r="PI152" s="20"/>
      <c r="PJ152" s="20"/>
      <c r="PK152" s="20"/>
      <c r="PL152" s="20"/>
      <c r="PM152" s="20"/>
      <c r="PN152" s="20"/>
      <c r="PO152" s="20"/>
      <c r="PP152" s="20"/>
      <c r="PQ152" s="20"/>
      <c r="PR152" s="20"/>
      <c r="PS152" s="20"/>
      <c r="PT152" s="20"/>
      <c r="PU152" s="20"/>
      <c r="PV152" s="20"/>
      <c r="PW152" s="20"/>
      <c r="PX152" s="20"/>
      <c r="PY152" s="20"/>
      <c r="PZ152" s="20"/>
      <c r="QA152" s="20"/>
      <c r="QB152" s="20"/>
      <c r="QC152" s="20"/>
      <c r="QD152" s="20"/>
      <c r="QE152" s="20"/>
      <c r="QF152" s="20"/>
      <c r="QG152" s="20"/>
      <c r="QH152" s="20"/>
      <c r="QI152" s="20"/>
      <c r="QJ152" s="20"/>
      <c r="QK152" s="20"/>
      <c r="QL152" s="20"/>
      <c r="QM152" s="20"/>
      <c r="QN152" s="20"/>
      <c r="QO152" s="20"/>
      <c r="QP152" s="20"/>
      <c r="QQ152" s="20"/>
      <c r="QR152" s="20"/>
      <c r="QS152" s="20"/>
      <c r="QT152" s="20"/>
      <c r="QU152" s="20"/>
      <c r="QV152" s="20"/>
      <c r="QW152" s="20"/>
      <c r="QX152" s="20"/>
      <c r="QY152" s="20"/>
      <c r="QZ152" s="20"/>
      <c r="RA152" s="20"/>
      <c r="RB152" s="20"/>
      <c r="RC152" s="20"/>
      <c r="RD152" s="20"/>
      <c r="RE152" s="20"/>
      <c r="RF152" s="20"/>
      <c r="RG152" s="20"/>
      <c r="RH152" s="20"/>
      <c r="RI152" s="20"/>
      <c r="RJ152" s="20"/>
      <c r="RK152" s="20"/>
      <c r="RL152" s="20"/>
      <c r="RM152" s="20"/>
      <c r="RN152" s="20"/>
      <c r="RO152" s="20"/>
      <c r="RP152" s="20"/>
      <c r="RQ152" s="20"/>
      <c r="RR152" s="20"/>
      <c r="RS152" s="20"/>
      <c r="RT152" s="20"/>
      <c r="RU152" s="20"/>
      <c r="RV152" s="20"/>
      <c r="RW152" s="20"/>
      <c r="RX152" s="20"/>
      <c r="RY152" s="20"/>
      <c r="RZ152" s="20"/>
      <c r="SA152" s="20"/>
      <c r="SB152" s="20"/>
      <c r="SC152" s="20"/>
      <c r="SD152" s="20"/>
      <c r="SE152" s="20"/>
      <c r="SF152" s="20"/>
      <c r="SG152" s="20"/>
      <c r="SH152" s="20"/>
      <c r="SI152" s="20"/>
      <c r="SJ152" s="20"/>
      <c r="SK152" s="20"/>
      <c r="SL152" s="20"/>
      <c r="SM152" s="20"/>
      <c r="SN152" s="20"/>
      <c r="SO152" s="20"/>
      <c r="SP152" s="20"/>
      <c r="SQ152" s="20"/>
      <c r="SR152" s="20"/>
      <c r="SS152" s="20"/>
      <c r="ST152" s="20"/>
      <c r="SU152" s="20"/>
      <c r="SV152" s="20"/>
      <c r="SW152" s="20"/>
      <c r="SX152" s="20"/>
      <c r="SY152" s="20"/>
      <c r="SZ152" s="20"/>
      <c r="TA152" s="20"/>
      <c r="TB152" s="20"/>
      <c r="TC152" s="20"/>
      <c r="TD152" s="20"/>
      <c r="TE152" s="20"/>
      <c r="TF152" s="20"/>
      <c r="TG152" s="20"/>
      <c r="TH152" s="20"/>
      <c r="TI152" s="20"/>
      <c r="TJ152" s="20"/>
      <c r="TK152" s="20"/>
      <c r="TL152" s="20"/>
      <c r="TM152" s="20"/>
      <c r="TN152" s="20"/>
      <c r="TO152" s="20"/>
      <c r="TP152" s="20"/>
      <c r="TQ152" s="20"/>
      <c r="TR152" s="20"/>
      <c r="TS152" s="20"/>
      <c r="TT152" s="20"/>
      <c r="TU152" s="20"/>
      <c r="TV152" s="20"/>
      <c r="TW152" s="20"/>
      <c r="TX152" s="20"/>
      <c r="TY152" s="20"/>
      <c r="TZ152" s="20"/>
      <c r="UA152" s="20"/>
      <c r="UB152" s="20"/>
      <c r="UC152" s="20"/>
      <c r="UD152" s="20"/>
      <c r="UE152" s="20"/>
      <c r="UF152" s="20"/>
      <c r="UG152" s="20"/>
      <c r="UH152" s="20"/>
      <c r="UI152" s="20"/>
      <c r="UJ152" s="20"/>
      <c r="UK152" s="20"/>
      <c r="UL152" s="20"/>
      <c r="UM152" s="20"/>
      <c r="UN152" s="20"/>
      <c r="UO152" s="20"/>
      <c r="UP152" s="20"/>
      <c r="UQ152" s="20"/>
      <c r="UR152" s="20"/>
      <c r="US152" s="20"/>
      <c r="UT152" s="20"/>
      <c r="UU152" s="20"/>
      <c r="UV152" s="20"/>
      <c r="UW152" s="20"/>
      <c r="UX152" s="20"/>
      <c r="UY152" s="20"/>
      <c r="UZ152" s="20"/>
      <c r="VA152" s="20"/>
      <c r="VB152" s="20"/>
      <c r="VC152" s="20"/>
      <c r="VD152" s="20"/>
      <c r="VE152" s="20"/>
      <c r="VF152" s="20"/>
      <c r="VG152" s="20"/>
      <c r="VH152" s="20"/>
      <c r="VI152" s="20"/>
      <c r="VJ152" s="20"/>
      <c r="VK152" s="20"/>
      <c r="VL152" s="20"/>
      <c r="VM152" s="20"/>
      <c r="VN152" s="20"/>
      <c r="VO152" s="20"/>
      <c r="VP152" s="20"/>
      <c r="VQ152" s="20"/>
      <c r="VR152" s="20"/>
      <c r="VS152" s="20"/>
      <c r="VT152" s="20"/>
      <c r="VU152" s="20"/>
      <c r="VV152" s="20"/>
      <c r="VW152" s="20"/>
      <c r="VX152" s="20"/>
      <c r="VY152" s="20"/>
      <c r="VZ152" s="20"/>
      <c r="WA152" s="20"/>
      <c r="WB152" s="20"/>
      <c r="WC152" s="20"/>
      <c r="WD152" s="20"/>
      <c r="WE152" s="20"/>
      <c r="WF152" s="20"/>
      <c r="WG152" s="20"/>
      <c r="WH152" s="20"/>
      <c r="WI152" s="20"/>
      <c r="WJ152" s="20"/>
      <c r="WK152" s="20"/>
      <c r="WL152" s="20"/>
      <c r="WM152" s="20"/>
      <c r="WN152" s="20"/>
      <c r="WO152" s="20"/>
      <c r="WP152" s="20"/>
      <c r="WQ152" s="20"/>
      <c r="WR152" s="20"/>
      <c r="WS152" s="20"/>
      <c r="WT152" s="20"/>
      <c r="WU152" s="20"/>
      <c r="WV152" s="20"/>
      <c r="WW152" s="20"/>
      <c r="WX152" s="20"/>
      <c r="WY152" s="20"/>
      <c r="WZ152" s="20"/>
      <c r="XA152" s="20"/>
      <c r="XB152" s="20"/>
      <c r="XC152" s="20"/>
      <c r="XD152" s="20"/>
      <c r="XE152" s="20"/>
      <c r="XF152" s="20"/>
      <c r="XG152" s="20"/>
      <c r="XH152" s="20"/>
      <c r="XI152" s="20"/>
      <c r="XJ152" s="20"/>
      <c r="XK152" s="20"/>
      <c r="XL152" s="20"/>
      <c r="XM152" s="20"/>
      <c r="XN152" s="20"/>
      <c r="XO152" s="20"/>
      <c r="XP152" s="20"/>
      <c r="XQ152" s="20"/>
      <c r="XR152" s="20"/>
      <c r="XS152" s="20"/>
      <c r="XT152" s="20"/>
      <c r="XU152" s="20"/>
      <c r="XV152" s="20"/>
      <c r="XW152" s="20"/>
      <c r="XX152" s="20"/>
      <c r="XY152" s="20"/>
      <c r="XZ152" s="20"/>
      <c r="YA152" s="20"/>
      <c r="YB152" s="20"/>
      <c r="YC152" s="20"/>
      <c r="YD152" s="20"/>
      <c r="YE152" s="20"/>
      <c r="YF152" s="20"/>
      <c r="YG152" s="20"/>
      <c r="YH152" s="20"/>
      <c r="YI152" s="20"/>
      <c r="YJ152" s="20"/>
      <c r="YK152" s="20"/>
      <c r="YL152" s="20"/>
      <c r="YM152" s="20"/>
      <c r="YN152" s="20"/>
      <c r="YO152" s="20"/>
      <c r="YP152" s="20"/>
      <c r="YQ152" s="20"/>
      <c r="YR152" s="20"/>
      <c r="YS152" s="20"/>
      <c r="YT152" s="20"/>
      <c r="YU152" s="20"/>
      <c r="YV152" s="20"/>
      <c r="YW152" s="20"/>
      <c r="YX152" s="20"/>
      <c r="YY152" s="20"/>
      <c r="YZ152" s="20"/>
      <c r="ZA152" s="20"/>
      <c r="ZB152" s="20"/>
      <c r="ZC152" s="20"/>
      <c r="ZD152" s="20"/>
      <c r="ZE152" s="20"/>
      <c r="ZF152" s="20"/>
      <c r="ZG152" s="20"/>
      <c r="ZH152" s="20"/>
      <c r="ZI152" s="20"/>
      <c r="ZJ152" s="20"/>
      <c r="ZK152" s="20"/>
      <c r="ZL152" s="20"/>
      <c r="ZM152" s="20"/>
      <c r="ZN152" s="20"/>
      <c r="ZO152" s="20"/>
      <c r="ZP152" s="20"/>
      <c r="ZQ152" s="20"/>
      <c r="ZR152" s="20"/>
      <c r="ZS152" s="20"/>
      <c r="ZT152" s="20"/>
      <c r="ZU152" s="20"/>
      <c r="ZV152" s="20"/>
      <c r="ZW152" s="20"/>
      <c r="ZX152" s="20"/>
      <c r="ZY152" s="20"/>
      <c r="ZZ152" s="20"/>
      <c r="AAA152" s="20"/>
      <c r="AAB152" s="20"/>
      <c r="AAC152" s="20"/>
      <c r="AAD152" s="20"/>
      <c r="AAE152" s="20"/>
      <c r="AAF152" s="20"/>
      <c r="AAG152" s="20"/>
      <c r="AAH152" s="20"/>
      <c r="AAI152" s="20"/>
      <c r="AAJ152" s="20"/>
      <c r="AAK152" s="20"/>
      <c r="AAL152" s="20"/>
      <c r="AAM152" s="20"/>
      <c r="AAN152" s="20"/>
      <c r="AAO152" s="20"/>
      <c r="AAP152" s="20"/>
      <c r="AAQ152" s="20"/>
      <c r="AAR152" s="20"/>
      <c r="AAS152" s="20"/>
      <c r="AAT152" s="20"/>
      <c r="AAU152" s="20"/>
      <c r="AAV152" s="20"/>
      <c r="AAW152" s="20"/>
      <c r="AAX152" s="20"/>
      <c r="AAY152" s="20"/>
      <c r="AAZ152" s="20"/>
      <c r="ABA152" s="20"/>
      <c r="ABB152" s="20"/>
      <c r="ABC152" s="20"/>
      <c r="ABD152" s="20"/>
      <c r="ABE152" s="20"/>
      <c r="ABF152" s="20"/>
      <c r="ABG152" s="20"/>
      <c r="ABH152" s="20"/>
      <c r="ABI152" s="20"/>
      <c r="ABJ152" s="20"/>
      <c r="ABK152" s="20"/>
      <c r="ABL152" s="20"/>
      <c r="ABM152" s="20"/>
      <c r="ABN152" s="20"/>
      <c r="ABO152" s="20"/>
      <c r="ABP152" s="20"/>
      <c r="ABQ152" s="20"/>
      <c r="ABR152" s="20"/>
      <c r="ABS152" s="20"/>
      <c r="ABT152" s="20"/>
      <c r="ABU152" s="20"/>
      <c r="ABV152" s="20"/>
      <c r="ABW152" s="20"/>
      <c r="ABX152" s="20"/>
      <c r="ABY152" s="20"/>
      <c r="ABZ152" s="20"/>
      <c r="ACA152" s="20"/>
      <c r="ACB152" s="20"/>
      <c r="ACC152" s="20"/>
      <c r="ACD152" s="20"/>
      <c r="ACE152" s="20"/>
      <c r="ACF152" s="20"/>
      <c r="ACG152" s="20"/>
      <c r="ACH152" s="20"/>
      <c r="ACI152" s="20"/>
      <c r="ACJ152" s="20"/>
      <c r="ACK152" s="20"/>
      <c r="ACL152" s="20"/>
      <c r="ACM152" s="20"/>
      <c r="ACN152" s="20"/>
      <c r="ACO152" s="20"/>
      <c r="ACP152" s="20"/>
      <c r="ACQ152" s="20"/>
    </row>
    <row r="153" spans="1:771" s="62" customFormat="1" ht="135.94999999999999">
      <c r="A153" s="20"/>
      <c r="B153" s="61" t="s">
        <v>681</v>
      </c>
      <c r="D153" s="61" t="s">
        <v>208</v>
      </c>
      <c r="F153" s="63" t="s">
        <v>254</v>
      </c>
      <c r="H153" s="61" t="s">
        <v>72</v>
      </c>
      <c r="J153" s="61" t="s">
        <v>659</v>
      </c>
      <c r="L153" s="61" t="s">
        <v>74</v>
      </c>
      <c r="N153" s="61" t="s">
        <v>202</v>
      </c>
      <c r="P153" s="61" t="s">
        <v>682</v>
      </c>
      <c r="R153" s="61" t="s">
        <v>77</v>
      </c>
      <c r="T153" s="65" t="s">
        <v>683</v>
      </c>
      <c r="U153" s="66"/>
      <c r="V153" s="67" t="s">
        <v>79</v>
      </c>
      <c r="W153" s="68"/>
      <c r="X153" s="67" t="s">
        <v>80</v>
      </c>
      <c r="Y153" s="68"/>
      <c r="Z153" s="67" t="s">
        <v>80</v>
      </c>
      <c r="AA153" s="68"/>
      <c r="AB153" s="67" t="s">
        <v>80</v>
      </c>
      <c r="AC153" s="69"/>
      <c r="AD153" s="63" t="s">
        <v>684</v>
      </c>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c r="IU153" s="20"/>
      <c r="IV153" s="20"/>
      <c r="IW153" s="20"/>
      <c r="IX153" s="20"/>
      <c r="IY153" s="20"/>
      <c r="IZ153" s="20"/>
      <c r="JA153" s="20"/>
      <c r="JB153" s="20"/>
      <c r="JC153" s="20"/>
      <c r="JD153" s="20"/>
      <c r="JE153" s="20"/>
      <c r="JF153" s="20"/>
      <c r="JG153" s="20"/>
      <c r="JH153" s="20"/>
      <c r="JI153" s="20"/>
      <c r="JJ153" s="20"/>
      <c r="JK153" s="20"/>
      <c r="JL153" s="20"/>
      <c r="JM153" s="20"/>
      <c r="JN153" s="20"/>
      <c r="JO153" s="20"/>
      <c r="JP153" s="20"/>
      <c r="JQ153" s="20"/>
      <c r="JR153" s="20"/>
      <c r="JS153" s="20"/>
      <c r="JT153" s="20"/>
      <c r="JU153" s="20"/>
      <c r="JV153" s="20"/>
      <c r="JW153" s="20"/>
      <c r="JX153" s="20"/>
      <c r="JY153" s="20"/>
      <c r="JZ153" s="20"/>
      <c r="KA153" s="20"/>
      <c r="KB153" s="20"/>
      <c r="KC153" s="20"/>
      <c r="KD153" s="20"/>
      <c r="KE153" s="20"/>
      <c r="KF153" s="20"/>
      <c r="KG153" s="20"/>
      <c r="KH153" s="20"/>
      <c r="KI153" s="20"/>
      <c r="KJ153" s="20"/>
      <c r="KK153" s="20"/>
      <c r="KL153" s="20"/>
      <c r="KM153" s="20"/>
      <c r="KN153" s="20"/>
      <c r="KO153" s="20"/>
      <c r="KP153" s="20"/>
      <c r="KQ153" s="20"/>
      <c r="KR153" s="20"/>
      <c r="KS153" s="20"/>
      <c r="KT153" s="20"/>
      <c r="KU153" s="20"/>
      <c r="KV153" s="20"/>
      <c r="KW153" s="20"/>
      <c r="KX153" s="20"/>
      <c r="KY153" s="20"/>
      <c r="KZ153" s="20"/>
      <c r="LA153" s="20"/>
      <c r="LB153" s="20"/>
      <c r="LC153" s="20"/>
      <c r="LD153" s="20"/>
      <c r="LE153" s="20"/>
      <c r="LF153" s="20"/>
      <c r="LG153" s="20"/>
      <c r="LH153" s="20"/>
      <c r="LI153" s="20"/>
      <c r="LJ153" s="20"/>
      <c r="LK153" s="20"/>
      <c r="LL153" s="20"/>
      <c r="LM153" s="20"/>
      <c r="LN153" s="20"/>
      <c r="LO153" s="20"/>
      <c r="LP153" s="20"/>
      <c r="LQ153" s="20"/>
      <c r="LR153" s="20"/>
      <c r="LS153" s="20"/>
      <c r="LT153" s="20"/>
      <c r="LU153" s="20"/>
      <c r="LV153" s="20"/>
      <c r="LW153" s="20"/>
      <c r="LX153" s="20"/>
      <c r="LY153" s="20"/>
      <c r="LZ153" s="20"/>
      <c r="MA153" s="20"/>
      <c r="MB153" s="20"/>
      <c r="MC153" s="20"/>
      <c r="MD153" s="20"/>
      <c r="ME153" s="20"/>
      <c r="MF153" s="20"/>
      <c r="MG153" s="20"/>
      <c r="MH153" s="20"/>
      <c r="MI153" s="20"/>
      <c r="MJ153" s="20"/>
      <c r="MK153" s="20"/>
      <c r="ML153" s="20"/>
      <c r="MM153" s="20"/>
      <c r="MN153" s="20"/>
      <c r="MO153" s="20"/>
      <c r="MP153" s="20"/>
      <c r="MQ153" s="20"/>
      <c r="MR153" s="20"/>
      <c r="MS153" s="20"/>
      <c r="MT153" s="20"/>
      <c r="MU153" s="20"/>
      <c r="MV153" s="20"/>
      <c r="MW153" s="20"/>
      <c r="MX153" s="20"/>
      <c r="MY153" s="20"/>
      <c r="MZ153" s="20"/>
      <c r="NA153" s="20"/>
      <c r="NB153" s="20"/>
      <c r="NC153" s="20"/>
      <c r="ND153" s="20"/>
      <c r="NE153" s="20"/>
      <c r="NF153" s="20"/>
      <c r="NG153" s="20"/>
      <c r="NH153" s="20"/>
      <c r="NI153" s="20"/>
      <c r="NJ153" s="20"/>
      <c r="NK153" s="20"/>
      <c r="NL153" s="20"/>
      <c r="NM153" s="20"/>
      <c r="NN153" s="20"/>
      <c r="NO153" s="20"/>
      <c r="NP153" s="20"/>
      <c r="NQ153" s="20"/>
      <c r="NR153" s="20"/>
      <c r="NS153" s="20"/>
      <c r="NT153" s="20"/>
      <c r="NU153" s="20"/>
      <c r="NV153" s="20"/>
      <c r="NW153" s="20"/>
      <c r="NX153" s="20"/>
      <c r="NY153" s="20"/>
      <c r="NZ153" s="20"/>
      <c r="OA153" s="20"/>
      <c r="OB153" s="20"/>
      <c r="OC153" s="20"/>
      <c r="OD153" s="20"/>
      <c r="OE153" s="20"/>
      <c r="OF153" s="20"/>
      <c r="OG153" s="20"/>
      <c r="OH153" s="20"/>
      <c r="OI153" s="20"/>
      <c r="OJ153" s="20"/>
      <c r="OK153" s="20"/>
      <c r="OL153" s="20"/>
      <c r="OM153" s="20"/>
      <c r="ON153" s="20"/>
      <c r="OO153" s="20"/>
      <c r="OP153" s="20"/>
      <c r="OQ153" s="20"/>
      <c r="OR153" s="20"/>
      <c r="OS153" s="20"/>
      <c r="OT153" s="20"/>
      <c r="OU153" s="20"/>
      <c r="OV153" s="20"/>
      <c r="OW153" s="20"/>
      <c r="OX153" s="20"/>
      <c r="OY153" s="20"/>
      <c r="OZ153" s="20"/>
      <c r="PA153" s="20"/>
      <c r="PB153" s="20"/>
      <c r="PC153" s="20"/>
      <c r="PD153" s="20"/>
      <c r="PE153" s="20"/>
      <c r="PF153" s="20"/>
      <c r="PG153" s="20"/>
      <c r="PH153" s="20"/>
      <c r="PI153" s="20"/>
      <c r="PJ153" s="20"/>
      <c r="PK153" s="20"/>
      <c r="PL153" s="20"/>
      <c r="PM153" s="20"/>
      <c r="PN153" s="20"/>
      <c r="PO153" s="20"/>
      <c r="PP153" s="20"/>
      <c r="PQ153" s="20"/>
      <c r="PR153" s="20"/>
      <c r="PS153" s="20"/>
      <c r="PT153" s="20"/>
      <c r="PU153" s="20"/>
      <c r="PV153" s="20"/>
      <c r="PW153" s="20"/>
      <c r="PX153" s="20"/>
      <c r="PY153" s="20"/>
      <c r="PZ153" s="20"/>
      <c r="QA153" s="20"/>
      <c r="QB153" s="20"/>
      <c r="QC153" s="20"/>
      <c r="QD153" s="20"/>
      <c r="QE153" s="20"/>
      <c r="QF153" s="20"/>
      <c r="QG153" s="20"/>
      <c r="QH153" s="20"/>
      <c r="QI153" s="20"/>
      <c r="QJ153" s="20"/>
      <c r="QK153" s="20"/>
      <c r="QL153" s="20"/>
      <c r="QM153" s="20"/>
      <c r="QN153" s="20"/>
      <c r="QO153" s="20"/>
      <c r="QP153" s="20"/>
      <c r="QQ153" s="20"/>
      <c r="QR153" s="20"/>
      <c r="QS153" s="20"/>
      <c r="QT153" s="20"/>
      <c r="QU153" s="20"/>
      <c r="QV153" s="20"/>
      <c r="QW153" s="20"/>
      <c r="QX153" s="20"/>
      <c r="QY153" s="20"/>
      <c r="QZ153" s="20"/>
      <c r="RA153" s="20"/>
      <c r="RB153" s="20"/>
      <c r="RC153" s="20"/>
      <c r="RD153" s="20"/>
      <c r="RE153" s="20"/>
      <c r="RF153" s="20"/>
      <c r="RG153" s="20"/>
      <c r="RH153" s="20"/>
      <c r="RI153" s="20"/>
      <c r="RJ153" s="20"/>
      <c r="RK153" s="20"/>
      <c r="RL153" s="20"/>
      <c r="RM153" s="20"/>
      <c r="RN153" s="20"/>
      <c r="RO153" s="20"/>
      <c r="RP153" s="20"/>
      <c r="RQ153" s="20"/>
      <c r="RR153" s="20"/>
      <c r="RS153" s="20"/>
      <c r="RT153" s="20"/>
      <c r="RU153" s="20"/>
      <c r="RV153" s="20"/>
      <c r="RW153" s="20"/>
      <c r="RX153" s="20"/>
      <c r="RY153" s="20"/>
      <c r="RZ153" s="20"/>
      <c r="SA153" s="20"/>
      <c r="SB153" s="20"/>
      <c r="SC153" s="20"/>
      <c r="SD153" s="20"/>
      <c r="SE153" s="20"/>
      <c r="SF153" s="20"/>
      <c r="SG153" s="20"/>
      <c r="SH153" s="20"/>
      <c r="SI153" s="20"/>
      <c r="SJ153" s="20"/>
      <c r="SK153" s="20"/>
      <c r="SL153" s="20"/>
      <c r="SM153" s="20"/>
      <c r="SN153" s="20"/>
      <c r="SO153" s="20"/>
      <c r="SP153" s="20"/>
      <c r="SQ153" s="20"/>
      <c r="SR153" s="20"/>
      <c r="SS153" s="20"/>
      <c r="ST153" s="20"/>
      <c r="SU153" s="20"/>
      <c r="SV153" s="20"/>
      <c r="SW153" s="20"/>
      <c r="SX153" s="20"/>
      <c r="SY153" s="20"/>
      <c r="SZ153" s="20"/>
      <c r="TA153" s="20"/>
      <c r="TB153" s="20"/>
      <c r="TC153" s="20"/>
      <c r="TD153" s="20"/>
      <c r="TE153" s="20"/>
      <c r="TF153" s="20"/>
      <c r="TG153" s="20"/>
      <c r="TH153" s="20"/>
      <c r="TI153" s="20"/>
      <c r="TJ153" s="20"/>
      <c r="TK153" s="20"/>
      <c r="TL153" s="20"/>
      <c r="TM153" s="20"/>
      <c r="TN153" s="20"/>
      <c r="TO153" s="20"/>
      <c r="TP153" s="20"/>
      <c r="TQ153" s="20"/>
      <c r="TR153" s="20"/>
      <c r="TS153" s="20"/>
      <c r="TT153" s="20"/>
      <c r="TU153" s="20"/>
      <c r="TV153" s="20"/>
      <c r="TW153" s="20"/>
      <c r="TX153" s="20"/>
      <c r="TY153" s="20"/>
      <c r="TZ153" s="20"/>
      <c r="UA153" s="20"/>
      <c r="UB153" s="20"/>
      <c r="UC153" s="20"/>
      <c r="UD153" s="20"/>
      <c r="UE153" s="20"/>
      <c r="UF153" s="20"/>
      <c r="UG153" s="20"/>
      <c r="UH153" s="20"/>
      <c r="UI153" s="20"/>
      <c r="UJ153" s="20"/>
      <c r="UK153" s="20"/>
      <c r="UL153" s="20"/>
      <c r="UM153" s="20"/>
      <c r="UN153" s="20"/>
      <c r="UO153" s="20"/>
      <c r="UP153" s="20"/>
      <c r="UQ153" s="20"/>
      <c r="UR153" s="20"/>
      <c r="US153" s="20"/>
      <c r="UT153" s="20"/>
      <c r="UU153" s="20"/>
      <c r="UV153" s="20"/>
      <c r="UW153" s="20"/>
      <c r="UX153" s="20"/>
      <c r="UY153" s="20"/>
      <c r="UZ153" s="20"/>
      <c r="VA153" s="20"/>
      <c r="VB153" s="20"/>
      <c r="VC153" s="20"/>
      <c r="VD153" s="20"/>
      <c r="VE153" s="20"/>
      <c r="VF153" s="20"/>
      <c r="VG153" s="20"/>
      <c r="VH153" s="20"/>
      <c r="VI153" s="20"/>
      <c r="VJ153" s="20"/>
      <c r="VK153" s="20"/>
      <c r="VL153" s="20"/>
      <c r="VM153" s="20"/>
      <c r="VN153" s="20"/>
      <c r="VO153" s="20"/>
      <c r="VP153" s="20"/>
      <c r="VQ153" s="20"/>
      <c r="VR153" s="20"/>
      <c r="VS153" s="20"/>
      <c r="VT153" s="20"/>
      <c r="VU153" s="20"/>
      <c r="VV153" s="20"/>
      <c r="VW153" s="20"/>
      <c r="VX153" s="20"/>
      <c r="VY153" s="20"/>
      <c r="VZ153" s="20"/>
      <c r="WA153" s="20"/>
      <c r="WB153" s="20"/>
      <c r="WC153" s="20"/>
      <c r="WD153" s="20"/>
      <c r="WE153" s="20"/>
      <c r="WF153" s="20"/>
      <c r="WG153" s="20"/>
      <c r="WH153" s="20"/>
      <c r="WI153" s="20"/>
      <c r="WJ153" s="20"/>
      <c r="WK153" s="20"/>
      <c r="WL153" s="20"/>
      <c r="WM153" s="20"/>
      <c r="WN153" s="20"/>
      <c r="WO153" s="20"/>
      <c r="WP153" s="20"/>
      <c r="WQ153" s="20"/>
      <c r="WR153" s="20"/>
      <c r="WS153" s="20"/>
      <c r="WT153" s="20"/>
      <c r="WU153" s="20"/>
      <c r="WV153" s="20"/>
      <c r="WW153" s="20"/>
      <c r="WX153" s="20"/>
      <c r="WY153" s="20"/>
      <c r="WZ153" s="20"/>
      <c r="XA153" s="20"/>
      <c r="XB153" s="20"/>
      <c r="XC153" s="20"/>
      <c r="XD153" s="20"/>
      <c r="XE153" s="20"/>
      <c r="XF153" s="20"/>
      <c r="XG153" s="20"/>
      <c r="XH153" s="20"/>
      <c r="XI153" s="20"/>
      <c r="XJ153" s="20"/>
      <c r="XK153" s="20"/>
      <c r="XL153" s="20"/>
      <c r="XM153" s="20"/>
      <c r="XN153" s="20"/>
      <c r="XO153" s="20"/>
      <c r="XP153" s="20"/>
      <c r="XQ153" s="20"/>
      <c r="XR153" s="20"/>
      <c r="XS153" s="20"/>
      <c r="XT153" s="20"/>
      <c r="XU153" s="20"/>
      <c r="XV153" s="20"/>
      <c r="XW153" s="20"/>
      <c r="XX153" s="20"/>
      <c r="XY153" s="20"/>
      <c r="XZ153" s="20"/>
      <c r="YA153" s="20"/>
      <c r="YB153" s="20"/>
      <c r="YC153" s="20"/>
      <c r="YD153" s="20"/>
      <c r="YE153" s="20"/>
      <c r="YF153" s="20"/>
      <c r="YG153" s="20"/>
      <c r="YH153" s="20"/>
      <c r="YI153" s="20"/>
      <c r="YJ153" s="20"/>
      <c r="YK153" s="20"/>
      <c r="YL153" s="20"/>
      <c r="YM153" s="20"/>
      <c r="YN153" s="20"/>
      <c r="YO153" s="20"/>
      <c r="YP153" s="20"/>
      <c r="YQ153" s="20"/>
      <c r="YR153" s="20"/>
      <c r="YS153" s="20"/>
      <c r="YT153" s="20"/>
      <c r="YU153" s="20"/>
      <c r="YV153" s="20"/>
      <c r="YW153" s="20"/>
      <c r="YX153" s="20"/>
      <c r="YY153" s="20"/>
      <c r="YZ153" s="20"/>
      <c r="ZA153" s="20"/>
      <c r="ZB153" s="20"/>
      <c r="ZC153" s="20"/>
      <c r="ZD153" s="20"/>
      <c r="ZE153" s="20"/>
      <c r="ZF153" s="20"/>
      <c r="ZG153" s="20"/>
      <c r="ZH153" s="20"/>
      <c r="ZI153" s="20"/>
      <c r="ZJ153" s="20"/>
      <c r="ZK153" s="20"/>
      <c r="ZL153" s="20"/>
      <c r="ZM153" s="20"/>
      <c r="ZN153" s="20"/>
      <c r="ZO153" s="20"/>
      <c r="ZP153" s="20"/>
      <c r="ZQ153" s="20"/>
      <c r="ZR153" s="20"/>
      <c r="ZS153" s="20"/>
      <c r="ZT153" s="20"/>
      <c r="ZU153" s="20"/>
      <c r="ZV153" s="20"/>
      <c r="ZW153" s="20"/>
      <c r="ZX153" s="20"/>
      <c r="ZY153" s="20"/>
      <c r="ZZ153" s="20"/>
      <c r="AAA153" s="20"/>
      <c r="AAB153" s="20"/>
      <c r="AAC153" s="20"/>
      <c r="AAD153" s="20"/>
      <c r="AAE153" s="20"/>
      <c r="AAF153" s="20"/>
      <c r="AAG153" s="20"/>
      <c r="AAH153" s="20"/>
      <c r="AAI153" s="20"/>
      <c r="AAJ153" s="20"/>
      <c r="AAK153" s="20"/>
      <c r="AAL153" s="20"/>
      <c r="AAM153" s="20"/>
      <c r="AAN153" s="20"/>
      <c r="AAO153" s="20"/>
      <c r="AAP153" s="20"/>
      <c r="AAQ153" s="20"/>
      <c r="AAR153" s="20"/>
      <c r="AAS153" s="20"/>
      <c r="AAT153" s="20"/>
      <c r="AAU153" s="20"/>
      <c r="AAV153" s="20"/>
      <c r="AAW153" s="20"/>
      <c r="AAX153" s="20"/>
      <c r="AAY153" s="20"/>
      <c r="AAZ153" s="20"/>
      <c r="ABA153" s="20"/>
      <c r="ABB153" s="20"/>
      <c r="ABC153" s="20"/>
      <c r="ABD153" s="20"/>
      <c r="ABE153" s="20"/>
      <c r="ABF153" s="20"/>
      <c r="ABG153" s="20"/>
      <c r="ABH153" s="20"/>
      <c r="ABI153" s="20"/>
      <c r="ABJ153" s="20"/>
      <c r="ABK153" s="20"/>
      <c r="ABL153" s="20"/>
      <c r="ABM153" s="20"/>
      <c r="ABN153" s="20"/>
      <c r="ABO153" s="20"/>
      <c r="ABP153" s="20"/>
      <c r="ABQ153" s="20"/>
      <c r="ABR153" s="20"/>
      <c r="ABS153" s="20"/>
      <c r="ABT153" s="20"/>
      <c r="ABU153" s="20"/>
      <c r="ABV153" s="20"/>
      <c r="ABW153" s="20"/>
      <c r="ABX153" s="20"/>
      <c r="ABY153" s="20"/>
      <c r="ABZ153" s="20"/>
      <c r="ACA153" s="20"/>
      <c r="ACB153" s="20"/>
      <c r="ACC153" s="20"/>
      <c r="ACD153" s="20"/>
      <c r="ACE153" s="20"/>
      <c r="ACF153" s="20"/>
      <c r="ACG153" s="20"/>
      <c r="ACH153" s="20"/>
      <c r="ACI153" s="20"/>
      <c r="ACJ153" s="20"/>
      <c r="ACK153" s="20"/>
      <c r="ACL153" s="20"/>
      <c r="ACM153" s="20"/>
      <c r="ACN153" s="20"/>
      <c r="ACO153" s="20"/>
      <c r="ACP153" s="20"/>
      <c r="ACQ153" s="20"/>
    </row>
    <row r="154" spans="1:771" s="62" customFormat="1" ht="68.099999999999994">
      <c r="A154" s="21"/>
      <c r="B154" s="61" t="s">
        <v>685</v>
      </c>
      <c r="D154" s="61" t="s">
        <v>115</v>
      </c>
      <c r="F154" s="63" t="s">
        <v>115</v>
      </c>
      <c r="H154" s="61" t="s">
        <v>72</v>
      </c>
      <c r="J154" s="61" t="s">
        <v>659</v>
      </c>
      <c r="L154" s="61" t="s">
        <v>74</v>
      </c>
      <c r="N154" s="61" t="s">
        <v>96</v>
      </c>
      <c r="P154" s="61" t="s">
        <v>686</v>
      </c>
      <c r="R154" s="61" t="s">
        <v>77</v>
      </c>
      <c r="T154" s="65" t="s">
        <v>687</v>
      </c>
      <c r="U154" s="66"/>
      <c r="V154" s="67" t="s">
        <v>79</v>
      </c>
      <c r="W154" s="68"/>
      <c r="X154" s="67" t="s">
        <v>80</v>
      </c>
      <c r="Y154" s="68"/>
      <c r="Z154" s="67" t="s">
        <v>79</v>
      </c>
      <c r="AA154" s="68"/>
      <c r="AB154" s="67" t="s">
        <v>80</v>
      </c>
      <c r="AC154" s="69"/>
      <c r="AD154" s="63" t="s">
        <v>688</v>
      </c>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c r="IU154" s="20"/>
      <c r="IV154" s="20"/>
      <c r="IW154" s="20"/>
      <c r="IX154" s="20"/>
      <c r="IY154" s="20"/>
      <c r="IZ154" s="20"/>
      <c r="JA154" s="20"/>
      <c r="JB154" s="20"/>
      <c r="JC154" s="20"/>
      <c r="JD154" s="20"/>
      <c r="JE154" s="20"/>
      <c r="JF154" s="20"/>
      <c r="JG154" s="20"/>
      <c r="JH154" s="20"/>
      <c r="JI154" s="20"/>
      <c r="JJ154" s="20"/>
      <c r="JK154" s="20"/>
      <c r="JL154" s="20"/>
      <c r="JM154" s="20"/>
      <c r="JN154" s="20"/>
      <c r="JO154" s="20"/>
      <c r="JP154" s="20"/>
      <c r="JQ154" s="20"/>
      <c r="JR154" s="20"/>
      <c r="JS154" s="20"/>
      <c r="JT154" s="20"/>
      <c r="JU154" s="20"/>
      <c r="JV154" s="20"/>
      <c r="JW154" s="20"/>
      <c r="JX154" s="20"/>
      <c r="JY154" s="20"/>
      <c r="JZ154" s="20"/>
      <c r="KA154" s="20"/>
      <c r="KB154" s="20"/>
      <c r="KC154" s="20"/>
      <c r="KD154" s="20"/>
      <c r="KE154" s="20"/>
      <c r="KF154" s="20"/>
      <c r="KG154" s="20"/>
      <c r="KH154" s="20"/>
      <c r="KI154" s="20"/>
      <c r="KJ154" s="20"/>
      <c r="KK154" s="20"/>
      <c r="KL154" s="20"/>
      <c r="KM154" s="20"/>
      <c r="KN154" s="20"/>
      <c r="KO154" s="20"/>
      <c r="KP154" s="20"/>
      <c r="KQ154" s="20"/>
      <c r="KR154" s="20"/>
      <c r="KS154" s="20"/>
      <c r="KT154" s="20"/>
      <c r="KU154" s="20"/>
      <c r="KV154" s="20"/>
      <c r="KW154" s="20"/>
      <c r="KX154" s="20"/>
      <c r="KY154" s="20"/>
      <c r="KZ154" s="20"/>
      <c r="LA154" s="20"/>
      <c r="LB154" s="20"/>
      <c r="LC154" s="20"/>
      <c r="LD154" s="20"/>
      <c r="LE154" s="20"/>
      <c r="LF154" s="20"/>
      <c r="LG154" s="20"/>
      <c r="LH154" s="20"/>
      <c r="LI154" s="20"/>
      <c r="LJ154" s="20"/>
      <c r="LK154" s="20"/>
      <c r="LL154" s="20"/>
      <c r="LM154" s="20"/>
      <c r="LN154" s="20"/>
      <c r="LO154" s="20"/>
      <c r="LP154" s="20"/>
      <c r="LQ154" s="20"/>
      <c r="LR154" s="20"/>
      <c r="LS154" s="20"/>
      <c r="LT154" s="20"/>
      <c r="LU154" s="20"/>
      <c r="LV154" s="20"/>
      <c r="LW154" s="20"/>
      <c r="LX154" s="20"/>
      <c r="LY154" s="20"/>
      <c r="LZ154" s="20"/>
      <c r="MA154" s="20"/>
      <c r="MB154" s="20"/>
      <c r="MC154" s="20"/>
      <c r="MD154" s="20"/>
      <c r="ME154" s="20"/>
      <c r="MF154" s="20"/>
      <c r="MG154" s="20"/>
      <c r="MH154" s="20"/>
      <c r="MI154" s="20"/>
      <c r="MJ154" s="20"/>
      <c r="MK154" s="20"/>
      <c r="ML154" s="20"/>
      <c r="MM154" s="20"/>
      <c r="MN154" s="20"/>
      <c r="MO154" s="20"/>
      <c r="MP154" s="20"/>
      <c r="MQ154" s="20"/>
      <c r="MR154" s="20"/>
      <c r="MS154" s="20"/>
      <c r="MT154" s="20"/>
      <c r="MU154" s="20"/>
      <c r="MV154" s="20"/>
      <c r="MW154" s="20"/>
      <c r="MX154" s="20"/>
      <c r="MY154" s="20"/>
      <c r="MZ154" s="20"/>
      <c r="NA154" s="20"/>
      <c r="NB154" s="20"/>
      <c r="NC154" s="20"/>
      <c r="ND154" s="20"/>
      <c r="NE154" s="20"/>
      <c r="NF154" s="20"/>
      <c r="NG154" s="20"/>
      <c r="NH154" s="20"/>
      <c r="NI154" s="20"/>
      <c r="NJ154" s="20"/>
      <c r="NK154" s="20"/>
      <c r="NL154" s="20"/>
      <c r="NM154" s="20"/>
      <c r="NN154" s="20"/>
      <c r="NO154" s="20"/>
      <c r="NP154" s="20"/>
      <c r="NQ154" s="20"/>
      <c r="NR154" s="20"/>
      <c r="NS154" s="20"/>
      <c r="NT154" s="20"/>
      <c r="NU154" s="20"/>
      <c r="NV154" s="20"/>
      <c r="NW154" s="20"/>
      <c r="NX154" s="20"/>
      <c r="NY154" s="20"/>
      <c r="NZ154" s="20"/>
      <c r="OA154" s="20"/>
      <c r="OB154" s="20"/>
      <c r="OC154" s="20"/>
      <c r="OD154" s="20"/>
      <c r="OE154" s="20"/>
      <c r="OF154" s="20"/>
      <c r="OG154" s="20"/>
      <c r="OH154" s="20"/>
      <c r="OI154" s="20"/>
      <c r="OJ154" s="20"/>
      <c r="OK154" s="20"/>
      <c r="OL154" s="20"/>
      <c r="OM154" s="20"/>
      <c r="ON154" s="20"/>
      <c r="OO154" s="20"/>
      <c r="OP154" s="20"/>
      <c r="OQ154" s="20"/>
      <c r="OR154" s="20"/>
      <c r="OS154" s="20"/>
      <c r="OT154" s="20"/>
      <c r="OU154" s="20"/>
      <c r="OV154" s="20"/>
      <c r="OW154" s="20"/>
      <c r="OX154" s="20"/>
      <c r="OY154" s="20"/>
      <c r="OZ154" s="20"/>
      <c r="PA154" s="20"/>
      <c r="PB154" s="20"/>
      <c r="PC154" s="20"/>
      <c r="PD154" s="20"/>
      <c r="PE154" s="20"/>
      <c r="PF154" s="20"/>
      <c r="PG154" s="20"/>
      <c r="PH154" s="20"/>
      <c r="PI154" s="20"/>
      <c r="PJ154" s="20"/>
      <c r="PK154" s="20"/>
      <c r="PL154" s="20"/>
      <c r="PM154" s="20"/>
      <c r="PN154" s="20"/>
      <c r="PO154" s="20"/>
      <c r="PP154" s="20"/>
      <c r="PQ154" s="20"/>
      <c r="PR154" s="20"/>
      <c r="PS154" s="20"/>
      <c r="PT154" s="20"/>
      <c r="PU154" s="20"/>
      <c r="PV154" s="20"/>
      <c r="PW154" s="20"/>
      <c r="PX154" s="20"/>
      <c r="PY154" s="20"/>
      <c r="PZ154" s="20"/>
      <c r="QA154" s="20"/>
      <c r="QB154" s="20"/>
      <c r="QC154" s="20"/>
      <c r="QD154" s="20"/>
      <c r="QE154" s="20"/>
      <c r="QF154" s="20"/>
      <c r="QG154" s="20"/>
      <c r="QH154" s="20"/>
      <c r="QI154" s="20"/>
      <c r="QJ154" s="20"/>
      <c r="QK154" s="20"/>
      <c r="QL154" s="20"/>
      <c r="QM154" s="20"/>
      <c r="QN154" s="20"/>
      <c r="QO154" s="20"/>
      <c r="QP154" s="20"/>
      <c r="QQ154" s="20"/>
      <c r="QR154" s="20"/>
      <c r="QS154" s="20"/>
      <c r="QT154" s="20"/>
      <c r="QU154" s="20"/>
      <c r="QV154" s="20"/>
      <c r="QW154" s="20"/>
      <c r="QX154" s="20"/>
      <c r="QY154" s="20"/>
      <c r="QZ154" s="20"/>
      <c r="RA154" s="20"/>
      <c r="RB154" s="20"/>
      <c r="RC154" s="20"/>
      <c r="RD154" s="20"/>
      <c r="RE154" s="20"/>
      <c r="RF154" s="20"/>
      <c r="RG154" s="20"/>
      <c r="RH154" s="20"/>
      <c r="RI154" s="20"/>
      <c r="RJ154" s="20"/>
      <c r="RK154" s="20"/>
      <c r="RL154" s="20"/>
      <c r="RM154" s="20"/>
      <c r="RN154" s="20"/>
      <c r="RO154" s="20"/>
      <c r="RP154" s="20"/>
      <c r="RQ154" s="20"/>
      <c r="RR154" s="20"/>
      <c r="RS154" s="20"/>
      <c r="RT154" s="20"/>
      <c r="RU154" s="20"/>
      <c r="RV154" s="20"/>
      <c r="RW154" s="20"/>
      <c r="RX154" s="20"/>
      <c r="RY154" s="20"/>
      <c r="RZ154" s="20"/>
      <c r="SA154" s="20"/>
      <c r="SB154" s="20"/>
      <c r="SC154" s="20"/>
      <c r="SD154" s="20"/>
      <c r="SE154" s="20"/>
      <c r="SF154" s="20"/>
      <c r="SG154" s="20"/>
      <c r="SH154" s="20"/>
      <c r="SI154" s="20"/>
      <c r="SJ154" s="20"/>
      <c r="SK154" s="20"/>
      <c r="SL154" s="20"/>
      <c r="SM154" s="20"/>
      <c r="SN154" s="20"/>
      <c r="SO154" s="20"/>
      <c r="SP154" s="20"/>
      <c r="SQ154" s="20"/>
      <c r="SR154" s="20"/>
      <c r="SS154" s="20"/>
      <c r="ST154" s="20"/>
      <c r="SU154" s="20"/>
      <c r="SV154" s="20"/>
      <c r="SW154" s="20"/>
      <c r="SX154" s="20"/>
      <c r="SY154" s="20"/>
      <c r="SZ154" s="20"/>
      <c r="TA154" s="20"/>
      <c r="TB154" s="20"/>
      <c r="TC154" s="20"/>
      <c r="TD154" s="20"/>
      <c r="TE154" s="20"/>
      <c r="TF154" s="20"/>
      <c r="TG154" s="20"/>
      <c r="TH154" s="20"/>
      <c r="TI154" s="20"/>
      <c r="TJ154" s="20"/>
      <c r="TK154" s="20"/>
      <c r="TL154" s="20"/>
      <c r="TM154" s="20"/>
      <c r="TN154" s="20"/>
      <c r="TO154" s="20"/>
      <c r="TP154" s="20"/>
      <c r="TQ154" s="20"/>
      <c r="TR154" s="20"/>
      <c r="TS154" s="20"/>
      <c r="TT154" s="20"/>
      <c r="TU154" s="20"/>
      <c r="TV154" s="20"/>
      <c r="TW154" s="20"/>
      <c r="TX154" s="20"/>
      <c r="TY154" s="20"/>
      <c r="TZ154" s="20"/>
      <c r="UA154" s="20"/>
      <c r="UB154" s="20"/>
      <c r="UC154" s="20"/>
      <c r="UD154" s="20"/>
      <c r="UE154" s="20"/>
      <c r="UF154" s="20"/>
      <c r="UG154" s="20"/>
      <c r="UH154" s="20"/>
      <c r="UI154" s="20"/>
      <c r="UJ154" s="20"/>
      <c r="UK154" s="20"/>
      <c r="UL154" s="20"/>
      <c r="UM154" s="20"/>
      <c r="UN154" s="20"/>
      <c r="UO154" s="20"/>
      <c r="UP154" s="20"/>
      <c r="UQ154" s="20"/>
      <c r="UR154" s="20"/>
      <c r="US154" s="20"/>
      <c r="UT154" s="20"/>
      <c r="UU154" s="20"/>
      <c r="UV154" s="20"/>
      <c r="UW154" s="20"/>
      <c r="UX154" s="20"/>
      <c r="UY154" s="20"/>
      <c r="UZ154" s="20"/>
      <c r="VA154" s="20"/>
      <c r="VB154" s="20"/>
      <c r="VC154" s="20"/>
      <c r="VD154" s="20"/>
      <c r="VE154" s="20"/>
      <c r="VF154" s="20"/>
      <c r="VG154" s="20"/>
      <c r="VH154" s="20"/>
      <c r="VI154" s="20"/>
      <c r="VJ154" s="20"/>
      <c r="VK154" s="20"/>
      <c r="VL154" s="20"/>
      <c r="VM154" s="20"/>
      <c r="VN154" s="20"/>
      <c r="VO154" s="20"/>
      <c r="VP154" s="20"/>
      <c r="VQ154" s="20"/>
      <c r="VR154" s="20"/>
      <c r="VS154" s="20"/>
      <c r="VT154" s="20"/>
      <c r="VU154" s="20"/>
      <c r="VV154" s="20"/>
      <c r="VW154" s="20"/>
      <c r="VX154" s="20"/>
      <c r="VY154" s="20"/>
      <c r="VZ154" s="20"/>
      <c r="WA154" s="20"/>
      <c r="WB154" s="20"/>
      <c r="WC154" s="20"/>
      <c r="WD154" s="20"/>
      <c r="WE154" s="20"/>
      <c r="WF154" s="20"/>
      <c r="WG154" s="20"/>
      <c r="WH154" s="20"/>
      <c r="WI154" s="20"/>
      <c r="WJ154" s="20"/>
      <c r="WK154" s="20"/>
      <c r="WL154" s="20"/>
      <c r="WM154" s="20"/>
      <c r="WN154" s="20"/>
      <c r="WO154" s="20"/>
      <c r="WP154" s="20"/>
      <c r="WQ154" s="20"/>
      <c r="WR154" s="20"/>
      <c r="WS154" s="20"/>
      <c r="WT154" s="20"/>
      <c r="WU154" s="20"/>
      <c r="WV154" s="20"/>
      <c r="WW154" s="20"/>
      <c r="WX154" s="20"/>
      <c r="WY154" s="20"/>
      <c r="WZ154" s="20"/>
      <c r="XA154" s="20"/>
      <c r="XB154" s="20"/>
      <c r="XC154" s="20"/>
      <c r="XD154" s="20"/>
      <c r="XE154" s="20"/>
      <c r="XF154" s="20"/>
      <c r="XG154" s="20"/>
      <c r="XH154" s="20"/>
      <c r="XI154" s="20"/>
      <c r="XJ154" s="20"/>
      <c r="XK154" s="20"/>
      <c r="XL154" s="20"/>
      <c r="XM154" s="20"/>
      <c r="XN154" s="20"/>
      <c r="XO154" s="20"/>
      <c r="XP154" s="20"/>
      <c r="XQ154" s="20"/>
      <c r="XR154" s="20"/>
      <c r="XS154" s="20"/>
      <c r="XT154" s="20"/>
      <c r="XU154" s="20"/>
      <c r="XV154" s="20"/>
      <c r="XW154" s="20"/>
      <c r="XX154" s="20"/>
      <c r="XY154" s="20"/>
      <c r="XZ154" s="20"/>
      <c r="YA154" s="20"/>
      <c r="YB154" s="20"/>
      <c r="YC154" s="20"/>
      <c r="YD154" s="20"/>
      <c r="YE154" s="20"/>
      <c r="YF154" s="20"/>
      <c r="YG154" s="20"/>
      <c r="YH154" s="20"/>
      <c r="YI154" s="20"/>
      <c r="YJ154" s="20"/>
      <c r="YK154" s="20"/>
      <c r="YL154" s="20"/>
      <c r="YM154" s="20"/>
      <c r="YN154" s="20"/>
      <c r="YO154" s="20"/>
      <c r="YP154" s="20"/>
      <c r="YQ154" s="20"/>
      <c r="YR154" s="20"/>
      <c r="YS154" s="20"/>
      <c r="YT154" s="20"/>
      <c r="YU154" s="20"/>
      <c r="YV154" s="20"/>
      <c r="YW154" s="20"/>
      <c r="YX154" s="20"/>
      <c r="YY154" s="20"/>
      <c r="YZ154" s="20"/>
      <c r="ZA154" s="20"/>
      <c r="ZB154" s="20"/>
      <c r="ZC154" s="20"/>
      <c r="ZD154" s="20"/>
      <c r="ZE154" s="20"/>
      <c r="ZF154" s="20"/>
      <c r="ZG154" s="20"/>
      <c r="ZH154" s="20"/>
      <c r="ZI154" s="20"/>
      <c r="ZJ154" s="20"/>
      <c r="ZK154" s="20"/>
      <c r="ZL154" s="20"/>
      <c r="ZM154" s="20"/>
      <c r="ZN154" s="20"/>
      <c r="ZO154" s="20"/>
      <c r="ZP154" s="20"/>
      <c r="ZQ154" s="20"/>
      <c r="ZR154" s="20"/>
      <c r="ZS154" s="20"/>
      <c r="ZT154" s="20"/>
      <c r="ZU154" s="20"/>
      <c r="ZV154" s="20"/>
      <c r="ZW154" s="20"/>
      <c r="ZX154" s="20"/>
      <c r="ZY154" s="20"/>
      <c r="ZZ154" s="20"/>
      <c r="AAA154" s="20"/>
      <c r="AAB154" s="20"/>
      <c r="AAC154" s="20"/>
      <c r="AAD154" s="20"/>
      <c r="AAE154" s="20"/>
      <c r="AAF154" s="20"/>
      <c r="AAG154" s="20"/>
      <c r="AAH154" s="20"/>
      <c r="AAI154" s="20"/>
      <c r="AAJ154" s="20"/>
      <c r="AAK154" s="20"/>
      <c r="AAL154" s="20"/>
      <c r="AAM154" s="20"/>
      <c r="AAN154" s="20"/>
      <c r="AAO154" s="20"/>
      <c r="AAP154" s="20"/>
      <c r="AAQ154" s="20"/>
      <c r="AAR154" s="20"/>
      <c r="AAS154" s="20"/>
      <c r="AAT154" s="20"/>
      <c r="AAU154" s="20"/>
      <c r="AAV154" s="20"/>
      <c r="AAW154" s="20"/>
      <c r="AAX154" s="20"/>
      <c r="AAY154" s="20"/>
      <c r="AAZ154" s="20"/>
      <c r="ABA154" s="20"/>
      <c r="ABB154" s="20"/>
      <c r="ABC154" s="20"/>
      <c r="ABD154" s="20"/>
      <c r="ABE154" s="20"/>
      <c r="ABF154" s="20"/>
      <c r="ABG154" s="20"/>
      <c r="ABH154" s="20"/>
      <c r="ABI154" s="20"/>
      <c r="ABJ154" s="20"/>
      <c r="ABK154" s="20"/>
      <c r="ABL154" s="20"/>
      <c r="ABM154" s="20"/>
      <c r="ABN154" s="20"/>
      <c r="ABO154" s="20"/>
      <c r="ABP154" s="20"/>
      <c r="ABQ154" s="20"/>
      <c r="ABR154" s="20"/>
      <c r="ABS154" s="20"/>
      <c r="ABT154" s="20"/>
      <c r="ABU154" s="20"/>
      <c r="ABV154" s="20"/>
      <c r="ABW154" s="20"/>
      <c r="ABX154" s="20"/>
      <c r="ABY154" s="20"/>
      <c r="ABZ154" s="20"/>
      <c r="ACA154" s="20"/>
      <c r="ACB154" s="20"/>
      <c r="ACC154" s="20"/>
      <c r="ACD154" s="20"/>
      <c r="ACE154" s="20"/>
      <c r="ACF154" s="20"/>
      <c r="ACG154" s="20"/>
      <c r="ACH154" s="20"/>
      <c r="ACI154" s="20"/>
      <c r="ACJ154" s="20"/>
      <c r="ACK154" s="20"/>
      <c r="ACL154" s="20"/>
      <c r="ACM154" s="20"/>
      <c r="ACN154" s="20"/>
      <c r="ACO154" s="20"/>
      <c r="ACP154" s="20"/>
      <c r="ACQ154" s="20"/>
    </row>
    <row r="155" spans="1:771" s="62" customFormat="1" ht="102">
      <c r="A155" s="20"/>
      <c r="B155" s="61" t="s">
        <v>689</v>
      </c>
      <c r="D155" s="61" t="s">
        <v>208</v>
      </c>
      <c r="F155" s="63" t="s">
        <v>254</v>
      </c>
      <c r="H155" s="61" t="s">
        <v>72</v>
      </c>
      <c r="J155" s="61" t="s">
        <v>659</v>
      </c>
      <c r="L155" s="61" t="s">
        <v>74</v>
      </c>
      <c r="N155" s="61" t="s">
        <v>103</v>
      </c>
      <c r="P155" s="61" t="s">
        <v>690</v>
      </c>
      <c r="R155" s="61" t="s">
        <v>77</v>
      </c>
      <c r="T155" s="65" t="s">
        <v>691</v>
      </c>
      <c r="U155" s="66"/>
      <c r="V155" s="67" t="s">
        <v>79</v>
      </c>
      <c r="W155" s="68"/>
      <c r="X155" s="67" t="s">
        <v>80</v>
      </c>
      <c r="Y155" s="68"/>
      <c r="Z155" s="67" t="s">
        <v>80</v>
      </c>
      <c r="AA155" s="68"/>
      <c r="AB155" s="63" t="s">
        <v>373</v>
      </c>
      <c r="AC155" s="69"/>
      <c r="AD155" s="63" t="s">
        <v>692</v>
      </c>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c r="IW155" s="20"/>
      <c r="IX155" s="20"/>
      <c r="IY155" s="20"/>
      <c r="IZ155" s="20"/>
      <c r="JA155" s="20"/>
      <c r="JB155" s="20"/>
      <c r="JC155" s="20"/>
      <c r="JD155" s="20"/>
      <c r="JE155" s="20"/>
      <c r="JF155" s="20"/>
      <c r="JG155" s="20"/>
      <c r="JH155" s="20"/>
      <c r="JI155" s="20"/>
      <c r="JJ155" s="20"/>
      <c r="JK155" s="20"/>
      <c r="JL155" s="20"/>
      <c r="JM155" s="20"/>
      <c r="JN155" s="20"/>
      <c r="JO155" s="20"/>
      <c r="JP155" s="20"/>
      <c r="JQ155" s="20"/>
      <c r="JR155" s="20"/>
      <c r="JS155" s="20"/>
      <c r="JT155" s="20"/>
      <c r="JU155" s="20"/>
      <c r="JV155" s="20"/>
      <c r="JW155" s="20"/>
      <c r="JX155" s="20"/>
      <c r="JY155" s="20"/>
      <c r="JZ155" s="20"/>
      <c r="KA155" s="20"/>
      <c r="KB155" s="20"/>
      <c r="KC155" s="20"/>
      <c r="KD155" s="20"/>
      <c r="KE155" s="20"/>
      <c r="KF155" s="20"/>
      <c r="KG155" s="20"/>
      <c r="KH155" s="20"/>
      <c r="KI155" s="20"/>
      <c r="KJ155" s="20"/>
      <c r="KK155" s="20"/>
      <c r="KL155" s="20"/>
      <c r="KM155" s="20"/>
      <c r="KN155" s="20"/>
      <c r="KO155" s="20"/>
      <c r="KP155" s="20"/>
      <c r="KQ155" s="20"/>
      <c r="KR155" s="20"/>
      <c r="KS155" s="20"/>
      <c r="KT155" s="20"/>
      <c r="KU155" s="20"/>
      <c r="KV155" s="20"/>
      <c r="KW155" s="20"/>
      <c r="KX155" s="20"/>
      <c r="KY155" s="20"/>
      <c r="KZ155" s="20"/>
      <c r="LA155" s="20"/>
      <c r="LB155" s="20"/>
      <c r="LC155" s="20"/>
      <c r="LD155" s="20"/>
      <c r="LE155" s="20"/>
      <c r="LF155" s="20"/>
      <c r="LG155" s="20"/>
      <c r="LH155" s="20"/>
      <c r="LI155" s="20"/>
      <c r="LJ155" s="20"/>
      <c r="LK155" s="20"/>
      <c r="LL155" s="20"/>
      <c r="LM155" s="20"/>
      <c r="LN155" s="20"/>
      <c r="LO155" s="20"/>
      <c r="LP155" s="20"/>
      <c r="LQ155" s="20"/>
      <c r="LR155" s="20"/>
      <c r="LS155" s="20"/>
      <c r="LT155" s="20"/>
      <c r="LU155" s="20"/>
      <c r="LV155" s="20"/>
      <c r="LW155" s="20"/>
      <c r="LX155" s="20"/>
      <c r="LY155" s="20"/>
      <c r="LZ155" s="20"/>
      <c r="MA155" s="20"/>
      <c r="MB155" s="20"/>
      <c r="MC155" s="20"/>
      <c r="MD155" s="20"/>
      <c r="ME155" s="20"/>
      <c r="MF155" s="20"/>
      <c r="MG155" s="20"/>
      <c r="MH155" s="20"/>
      <c r="MI155" s="20"/>
      <c r="MJ155" s="20"/>
      <c r="MK155" s="20"/>
      <c r="ML155" s="20"/>
      <c r="MM155" s="20"/>
      <c r="MN155" s="20"/>
      <c r="MO155" s="20"/>
      <c r="MP155" s="20"/>
      <c r="MQ155" s="20"/>
      <c r="MR155" s="20"/>
      <c r="MS155" s="20"/>
      <c r="MT155" s="20"/>
      <c r="MU155" s="20"/>
      <c r="MV155" s="20"/>
      <c r="MW155" s="20"/>
      <c r="MX155" s="20"/>
      <c r="MY155" s="20"/>
      <c r="MZ155" s="20"/>
      <c r="NA155" s="20"/>
      <c r="NB155" s="20"/>
      <c r="NC155" s="20"/>
      <c r="ND155" s="20"/>
      <c r="NE155" s="20"/>
      <c r="NF155" s="20"/>
      <c r="NG155" s="20"/>
      <c r="NH155" s="20"/>
      <c r="NI155" s="20"/>
      <c r="NJ155" s="20"/>
      <c r="NK155" s="20"/>
      <c r="NL155" s="20"/>
      <c r="NM155" s="20"/>
      <c r="NN155" s="20"/>
      <c r="NO155" s="20"/>
      <c r="NP155" s="20"/>
      <c r="NQ155" s="20"/>
      <c r="NR155" s="20"/>
      <c r="NS155" s="20"/>
      <c r="NT155" s="20"/>
      <c r="NU155" s="20"/>
      <c r="NV155" s="20"/>
      <c r="NW155" s="20"/>
      <c r="NX155" s="20"/>
      <c r="NY155" s="20"/>
      <c r="NZ155" s="20"/>
      <c r="OA155" s="20"/>
      <c r="OB155" s="20"/>
      <c r="OC155" s="20"/>
      <c r="OD155" s="20"/>
      <c r="OE155" s="20"/>
      <c r="OF155" s="20"/>
      <c r="OG155" s="20"/>
      <c r="OH155" s="20"/>
      <c r="OI155" s="20"/>
      <c r="OJ155" s="20"/>
      <c r="OK155" s="20"/>
      <c r="OL155" s="20"/>
      <c r="OM155" s="20"/>
      <c r="ON155" s="20"/>
      <c r="OO155" s="20"/>
      <c r="OP155" s="20"/>
      <c r="OQ155" s="20"/>
      <c r="OR155" s="20"/>
      <c r="OS155" s="20"/>
      <c r="OT155" s="20"/>
      <c r="OU155" s="20"/>
      <c r="OV155" s="20"/>
      <c r="OW155" s="20"/>
      <c r="OX155" s="20"/>
      <c r="OY155" s="20"/>
      <c r="OZ155" s="20"/>
      <c r="PA155" s="20"/>
      <c r="PB155" s="20"/>
      <c r="PC155" s="20"/>
      <c r="PD155" s="20"/>
      <c r="PE155" s="20"/>
      <c r="PF155" s="20"/>
      <c r="PG155" s="20"/>
      <c r="PH155" s="20"/>
      <c r="PI155" s="20"/>
      <c r="PJ155" s="20"/>
      <c r="PK155" s="20"/>
      <c r="PL155" s="20"/>
      <c r="PM155" s="20"/>
      <c r="PN155" s="20"/>
      <c r="PO155" s="20"/>
      <c r="PP155" s="20"/>
      <c r="PQ155" s="20"/>
      <c r="PR155" s="20"/>
      <c r="PS155" s="20"/>
      <c r="PT155" s="20"/>
      <c r="PU155" s="20"/>
      <c r="PV155" s="20"/>
      <c r="PW155" s="20"/>
      <c r="PX155" s="20"/>
      <c r="PY155" s="20"/>
      <c r="PZ155" s="20"/>
      <c r="QA155" s="20"/>
      <c r="QB155" s="20"/>
      <c r="QC155" s="20"/>
      <c r="QD155" s="20"/>
      <c r="QE155" s="20"/>
      <c r="QF155" s="20"/>
      <c r="QG155" s="20"/>
      <c r="QH155" s="20"/>
      <c r="QI155" s="20"/>
      <c r="QJ155" s="20"/>
      <c r="QK155" s="20"/>
      <c r="QL155" s="20"/>
      <c r="QM155" s="20"/>
      <c r="QN155" s="20"/>
      <c r="QO155" s="20"/>
      <c r="QP155" s="20"/>
      <c r="QQ155" s="20"/>
      <c r="QR155" s="20"/>
      <c r="QS155" s="20"/>
      <c r="QT155" s="20"/>
      <c r="QU155" s="20"/>
      <c r="QV155" s="20"/>
      <c r="QW155" s="20"/>
      <c r="QX155" s="20"/>
      <c r="QY155" s="20"/>
      <c r="QZ155" s="20"/>
      <c r="RA155" s="20"/>
      <c r="RB155" s="20"/>
      <c r="RC155" s="20"/>
      <c r="RD155" s="20"/>
      <c r="RE155" s="20"/>
      <c r="RF155" s="20"/>
      <c r="RG155" s="20"/>
      <c r="RH155" s="20"/>
      <c r="RI155" s="20"/>
      <c r="RJ155" s="20"/>
      <c r="RK155" s="20"/>
      <c r="RL155" s="20"/>
      <c r="RM155" s="20"/>
      <c r="RN155" s="20"/>
      <c r="RO155" s="20"/>
      <c r="RP155" s="20"/>
      <c r="RQ155" s="20"/>
      <c r="RR155" s="20"/>
      <c r="RS155" s="20"/>
      <c r="RT155" s="20"/>
      <c r="RU155" s="20"/>
      <c r="RV155" s="20"/>
      <c r="RW155" s="20"/>
      <c r="RX155" s="20"/>
      <c r="RY155" s="20"/>
      <c r="RZ155" s="20"/>
      <c r="SA155" s="20"/>
      <c r="SB155" s="20"/>
      <c r="SC155" s="20"/>
      <c r="SD155" s="20"/>
      <c r="SE155" s="20"/>
      <c r="SF155" s="20"/>
      <c r="SG155" s="20"/>
      <c r="SH155" s="20"/>
      <c r="SI155" s="20"/>
      <c r="SJ155" s="20"/>
      <c r="SK155" s="20"/>
      <c r="SL155" s="20"/>
      <c r="SM155" s="20"/>
      <c r="SN155" s="20"/>
      <c r="SO155" s="20"/>
      <c r="SP155" s="20"/>
      <c r="SQ155" s="20"/>
      <c r="SR155" s="20"/>
      <c r="SS155" s="20"/>
      <c r="ST155" s="20"/>
      <c r="SU155" s="20"/>
      <c r="SV155" s="20"/>
      <c r="SW155" s="20"/>
      <c r="SX155" s="20"/>
      <c r="SY155" s="20"/>
      <c r="SZ155" s="20"/>
      <c r="TA155" s="20"/>
      <c r="TB155" s="20"/>
      <c r="TC155" s="20"/>
      <c r="TD155" s="20"/>
      <c r="TE155" s="20"/>
      <c r="TF155" s="20"/>
      <c r="TG155" s="20"/>
      <c r="TH155" s="20"/>
      <c r="TI155" s="20"/>
      <c r="TJ155" s="20"/>
      <c r="TK155" s="20"/>
      <c r="TL155" s="20"/>
      <c r="TM155" s="20"/>
      <c r="TN155" s="20"/>
      <c r="TO155" s="20"/>
      <c r="TP155" s="20"/>
      <c r="TQ155" s="20"/>
      <c r="TR155" s="20"/>
      <c r="TS155" s="20"/>
      <c r="TT155" s="20"/>
      <c r="TU155" s="20"/>
      <c r="TV155" s="20"/>
      <c r="TW155" s="20"/>
      <c r="TX155" s="20"/>
      <c r="TY155" s="20"/>
      <c r="TZ155" s="20"/>
      <c r="UA155" s="20"/>
      <c r="UB155" s="20"/>
      <c r="UC155" s="20"/>
      <c r="UD155" s="20"/>
      <c r="UE155" s="20"/>
      <c r="UF155" s="20"/>
      <c r="UG155" s="20"/>
      <c r="UH155" s="20"/>
      <c r="UI155" s="20"/>
      <c r="UJ155" s="20"/>
      <c r="UK155" s="20"/>
      <c r="UL155" s="20"/>
      <c r="UM155" s="20"/>
      <c r="UN155" s="20"/>
      <c r="UO155" s="20"/>
      <c r="UP155" s="20"/>
      <c r="UQ155" s="20"/>
      <c r="UR155" s="20"/>
      <c r="US155" s="20"/>
      <c r="UT155" s="20"/>
      <c r="UU155" s="20"/>
      <c r="UV155" s="20"/>
      <c r="UW155" s="20"/>
      <c r="UX155" s="20"/>
      <c r="UY155" s="20"/>
      <c r="UZ155" s="20"/>
      <c r="VA155" s="20"/>
      <c r="VB155" s="20"/>
      <c r="VC155" s="20"/>
      <c r="VD155" s="20"/>
      <c r="VE155" s="20"/>
      <c r="VF155" s="20"/>
      <c r="VG155" s="20"/>
      <c r="VH155" s="20"/>
      <c r="VI155" s="20"/>
      <c r="VJ155" s="20"/>
      <c r="VK155" s="20"/>
      <c r="VL155" s="20"/>
      <c r="VM155" s="20"/>
      <c r="VN155" s="20"/>
      <c r="VO155" s="20"/>
      <c r="VP155" s="20"/>
      <c r="VQ155" s="20"/>
      <c r="VR155" s="20"/>
      <c r="VS155" s="20"/>
      <c r="VT155" s="20"/>
      <c r="VU155" s="20"/>
      <c r="VV155" s="20"/>
      <c r="VW155" s="20"/>
      <c r="VX155" s="20"/>
      <c r="VY155" s="20"/>
      <c r="VZ155" s="20"/>
      <c r="WA155" s="20"/>
      <c r="WB155" s="20"/>
      <c r="WC155" s="20"/>
      <c r="WD155" s="20"/>
      <c r="WE155" s="20"/>
      <c r="WF155" s="20"/>
      <c r="WG155" s="20"/>
      <c r="WH155" s="20"/>
      <c r="WI155" s="20"/>
      <c r="WJ155" s="20"/>
      <c r="WK155" s="20"/>
      <c r="WL155" s="20"/>
      <c r="WM155" s="20"/>
      <c r="WN155" s="20"/>
      <c r="WO155" s="20"/>
      <c r="WP155" s="20"/>
      <c r="WQ155" s="20"/>
      <c r="WR155" s="20"/>
      <c r="WS155" s="20"/>
      <c r="WT155" s="20"/>
      <c r="WU155" s="20"/>
      <c r="WV155" s="20"/>
      <c r="WW155" s="20"/>
      <c r="WX155" s="20"/>
      <c r="WY155" s="20"/>
      <c r="WZ155" s="20"/>
      <c r="XA155" s="20"/>
      <c r="XB155" s="20"/>
      <c r="XC155" s="20"/>
      <c r="XD155" s="20"/>
      <c r="XE155" s="20"/>
      <c r="XF155" s="20"/>
      <c r="XG155" s="20"/>
      <c r="XH155" s="20"/>
      <c r="XI155" s="20"/>
      <c r="XJ155" s="20"/>
      <c r="XK155" s="20"/>
      <c r="XL155" s="20"/>
      <c r="XM155" s="20"/>
      <c r="XN155" s="20"/>
      <c r="XO155" s="20"/>
      <c r="XP155" s="20"/>
      <c r="XQ155" s="20"/>
      <c r="XR155" s="20"/>
      <c r="XS155" s="20"/>
      <c r="XT155" s="20"/>
      <c r="XU155" s="20"/>
      <c r="XV155" s="20"/>
      <c r="XW155" s="20"/>
      <c r="XX155" s="20"/>
      <c r="XY155" s="20"/>
      <c r="XZ155" s="20"/>
      <c r="YA155" s="20"/>
      <c r="YB155" s="20"/>
      <c r="YC155" s="20"/>
      <c r="YD155" s="20"/>
      <c r="YE155" s="20"/>
      <c r="YF155" s="20"/>
      <c r="YG155" s="20"/>
      <c r="YH155" s="20"/>
      <c r="YI155" s="20"/>
      <c r="YJ155" s="20"/>
      <c r="YK155" s="20"/>
      <c r="YL155" s="20"/>
      <c r="YM155" s="20"/>
      <c r="YN155" s="20"/>
      <c r="YO155" s="20"/>
      <c r="YP155" s="20"/>
      <c r="YQ155" s="20"/>
      <c r="YR155" s="20"/>
      <c r="YS155" s="20"/>
      <c r="YT155" s="20"/>
      <c r="YU155" s="20"/>
      <c r="YV155" s="20"/>
      <c r="YW155" s="20"/>
      <c r="YX155" s="20"/>
      <c r="YY155" s="20"/>
      <c r="YZ155" s="20"/>
      <c r="ZA155" s="20"/>
      <c r="ZB155" s="20"/>
      <c r="ZC155" s="20"/>
      <c r="ZD155" s="20"/>
      <c r="ZE155" s="20"/>
      <c r="ZF155" s="20"/>
      <c r="ZG155" s="20"/>
      <c r="ZH155" s="20"/>
      <c r="ZI155" s="20"/>
      <c r="ZJ155" s="20"/>
      <c r="ZK155" s="20"/>
      <c r="ZL155" s="20"/>
      <c r="ZM155" s="20"/>
      <c r="ZN155" s="20"/>
      <c r="ZO155" s="20"/>
      <c r="ZP155" s="20"/>
      <c r="ZQ155" s="20"/>
      <c r="ZR155" s="20"/>
      <c r="ZS155" s="20"/>
      <c r="ZT155" s="20"/>
      <c r="ZU155" s="20"/>
      <c r="ZV155" s="20"/>
      <c r="ZW155" s="20"/>
      <c r="ZX155" s="20"/>
      <c r="ZY155" s="20"/>
      <c r="ZZ155" s="20"/>
      <c r="AAA155" s="20"/>
      <c r="AAB155" s="20"/>
      <c r="AAC155" s="20"/>
      <c r="AAD155" s="20"/>
      <c r="AAE155" s="20"/>
      <c r="AAF155" s="20"/>
      <c r="AAG155" s="20"/>
      <c r="AAH155" s="20"/>
      <c r="AAI155" s="20"/>
      <c r="AAJ155" s="20"/>
      <c r="AAK155" s="20"/>
      <c r="AAL155" s="20"/>
      <c r="AAM155" s="20"/>
      <c r="AAN155" s="20"/>
      <c r="AAO155" s="20"/>
      <c r="AAP155" s="20"/>
      <c r="AAQ155" s="20"/>
      <c r="AAR155" s="20"/>
      <c r="AAS155" s="20"/>
      <c r="AAT155" s="20"/>
      <c r="AAU155" s="20"/>
      <c r="AAV155" s="20"/>
      <c r="AAW155" s="20"/>
      <c r="AAX155" s="20"/>
      <c r="AAY155" s="20"/>
      <c r="AAZ155" s="20"/>
      <c r="ABA155" s="20"/>
      <c r="ABB155" s="20"/>
      <c r="ABC155" s="20"/>
      <c r="ABD155" s="20"/>
      <c r="ABE155" s="20"/>
      <c r="ABF155" s="20"/>
      <c r="ABG155" s="20"/>
      <c r="ABH155" s="20"/>
      <c r="ABI155" s="20"/>
      <c r="ABJ155" s="20"/>
      <c r="ABK155" s="20"/>
      <c r="ABL155" s="20"/>
      <c r="ABM155" s="20"/>
      <c r="ABN155" s="20"/>
      <c r="ABO155" s="20"/>
      <c r="ABP155" s="20"/>
      <c r="ABQ155" s="20"/>
      <c r="ABR155" s="20"/>
      <c r="ABS155" s="20"/>
      <c r="ABT155" s="20"/>
      <c r="ABU155" s="20"/>
      <c r="ABV155" s="20"/>
      <c r="ABW155" s="20"/>
      <c r="ABX155" s="20"/>
      <c r="ABY155" s="20"/>
      <c r="ABZ155" s="20"/>
      <c r="ACA155" s="20"/>
      <c r="ACB155" s="20"/>
      <c r="ACC155" s="20"/>
      <c r="ACD155" s="20"/>
      <c r="ACE155" s="20"/>
      <c r="ACF155" s="20"/>
      <c r="ACG155" s="20"/>
      <c r="ACH155" s="20"/>
      <c r="ACI155" s="20"/>
      <c r="ACJ155" s="20"/>
      <c r="ACK155" s="20"/>
      <c r="ACL155" s="20"/>
      <c r="ACM155" s="20"/>
      <c r="ACN155" s="20"/>
      <c r="ACO155" s="20"/>
      <c r="ACP155" s="20"/>
      <c r="ACQ155" s="20"/>
    </row>
    <row r="156" spans="1:771" ht="68.099999999999994">
      <c r="A156" s="21"/>
      <c r="B156" s="61" t="s">
        <v>693</v>
      </c>
      <c r="C156" s="62"/>
      <c r="D156" s="61" t="s">
        <v>370</v>
      </c>
      <c r="E156" s="62"/>
      <c r="F156" s="63" t="s">
        <v>370</v>
      </c>
      <c r="G156" s="62"/>
      <c r="H156" s="61" t="s">
        <v>298</v>
      </c>
      <c r="I156" s="62"/>
      <c r="J156" s="61" t="s">
        <v>694</v>
      </c>
      <c r="K156" s="62"/>
      <c r="L156" s="61" t="s">
        <v>74</v>
      </c>
      <c r="M156" s="62"/>
      <c r="N156" s="61" t="s">
        <v>103</v>
      </c>
      <c r="O156" s="62"/>
      <c r="P156" s="61" t="s">
        <v>695</v>
      </c>
      <c r="Q156" s="62"/>
      <c r="R156" s="61" t="s">
        <v>77</v>
      </c>
      <c r="S156" s="62"/>
      <c r="T156" s="65" t="s">
        <v>696</v>
      </c>
      <c r="U156" s="66"/>
      <c r="V156" s="67" t="s">
        <v>79</v>
      </c>
      <c r="W156" s="66"/>
      <c r="X156" s="67" t="s">
        <v>80</v>
      </c>
      <c r="Y156" s="69"/>
      <c r="Z156" s="67" t="s">
        <v>80</v>
      </c>
      <c r="AA156" s="66"/>
      <c r="AB156" s="67" t="s">
        <v>80</v>
      </c>
      <c r="AC156" s="66"/>
      <c r="AD156" s="63" t="s">
        <v>697</v>
      </c>
    </row>
    <row r="157" spans="1:771" s="62" customFormat="1" ht="102">
      <c r="A157" s="20"/>
      <c r="B157" s="61" t="s">
        <v>698</v>
      </c>
      <c r="D157" s="61" t="s">
        <v>699</v>
      </c>
      <c r="F157" s="63" t="s">
        <v>370</v>
      </c>
      <c r="H157" s="61" t="s">
        <v>291</v>
      </c>
      <c r="J157" s="61" t="s">
        <v>694</v>
      </c>
      <c r="L157" s="61" t="s">
        <v>74</v>
      </c>
      <c r="N157" s="61" t="s">
        <v>185</v>
      </c>
      <c r="P157" s="61" t="s">
        <v>700</v>
      </c>
      <c r="R157" s="61" t="s">
        <v>77</v>
      </c>
      <c r="T157" s="65" t="s">
        <v>696</v>
      </c>
      <c r="U157" s="66"/>
      <c r="V157" s="67" t="s">
        <v>79</v>
      </c>
      <c r="W157" s="66"/>
      <c r="X157" s="67" t="s">
        <v>80</v>
      </c>
      <c r="Y157" s="69"/>
      <c r="Z157" s="67" t="s">
        <v>80</v>
      </c>
      <c r="AA157" s="66"/>
      <c r="AB157" s="67" t="s">
        <v>80</v>
      </c>
      <c r="AC157" s="66"/>
      <c r="AD157" s="63" t="s">
        <v>701</v>
      </c>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c r="IF157" s="20"/>
      <c r="IG157" s="20"/>
      <c r="IH157" s="20"/>
      <c r="II157" s="20"/>
      <c r="IJ157" s="20"/>
      <c r="IK157" s="20"/>
      <c r="IL157" s="20"/>
      <c r="IM157" s="20"/>
      <c r="IN157" s="20"/>
      <c r="IO157" s="20"/>
      <c r="IP157" s="20"/>
      <c r="IQ157" s="20"/>
      <c r="IR157" s="20"/>
      <c r="IS157" s="20"/>
      <c r="IT157" s="20"/>
      <c r="IU157" s="20"/>
      <c r="IV157" s="20"/>
      <c r="IW157" s="20"/>
      <c r="IX157" s="20"/>
      <c r="IY157" s="20"/>
      <c r="IZ157" s="20"/>
      <c r="JA157" s="20"/>
      <c r="JB157" s="20"/>
      <c r="JC157" s="20"/>
      <c r="JD157" s="20"/>
      <c r="JE157" s="20"/>
      <c r="JF157" s="20"/>
      <c r="JG157" s="20"/>
      <c r="JH157" s="20"/>
      <c r="JI157" s="20"/>
      <c r="JJ157" s="20"/>
      <c r="JK157" s="20"/>
      <c r="JL157" s="20"/>
      <c r="JM157" s="20"/>
      <c r="JN157" s="20"/>
      <c r="JO157" s="20"/>
      <c r="JP157" s="20"/>
      <c r="JQ157" s="20"/>
      <c r="JR157" s="20"/>
      <c r="JS157" s="20"/>
      <c r="JT157" s="20"/>
      <c r="JU157" s="20"/>
      <c r="JV157" s="20"/>
      <c r="JW157" s="20"/>
      <c r="JX157" s="20"/>
      <c r="JY157" s="20"/>
      <c r="JZ157" s="20"/>
      <c r="KA157" s="20"/>
      <c r="KB157" s="20"/>
      <c r="KC157" s="20"/>
      <c r="KD157" s="20"/>
      <c r="KE157" s="20"/>
      <c r="KF157" s="20"/>
      <c r="KG157" s="20"/>
      <c r="KH157" s="20"/>
      <c r="KI157" s="20"/>
      <c r="KJ157" s="20"/>
      <c r="KK157" s="20"/>
      <c r="KL157" s="20"/>
      <c r="KM157" s="20"/>
      <c r="KN157" s="20"/>
      <c r="KO157" s="20"/>
      <c r="KP157" s="20"/>
      <c r="KQ157" s="20"/>
      <c r="KR157" s="20"/>
      <c r="KS157" s="20"/>
      <c r="KT157" s="20"/>
      <c r="KU157" s="20"/>
      <c r="KV157" s="20"/>
      <c r="KW157" s="20"/>
      <c r="KX157" s="20"/>
      <c r="KY157" s="20"/>
      <c r="KZ157" s="20"/>
      <c r="LA157" s="20"/>
      <c r="LB157" s="20"/>
      <c r="LC157" s="20"/>
      <c r="LD157" s="20"/>
      <c r="LE157" s="20"/>
      <c r="LF157" s="20"/>
      <c r="LG157" s="20"/>
      <c r="LH157" s="20"/>
      <c r="LI157" s="20"/>
      <c r="LJ157" s="20"/>
      <c r="LK157" s="20"/>
      <c r="LL157" s="20"/>
      <c r="LM157" s="20"/>
      <c r="LN157" s="20"/>
      <c r="LO157" s="20"/>
      <c r="LP157" s="20"/>
      <c r="LQ157" s="20"/>
      <c r="LR157" s="20"/>
      <c r="LS157" s="20"/>
      <c r="LT157" s="20"/>
      <c r="LU157" s="20"/>
      <c r="LV157" s="20"/>
      <c r="LW157" s="20"/>
      <c r="LX157" s="20"/>
      <c r="LY157" s="20"/>
      <c r="LZ157" s="20"/>
      <c r="MA157" s="20"/>
      <c r="MB157" s="20"/>
      <c r="MC157" s="20"/>
      <c r="MD157" s="20"/>
      <c r="ME157" s="20"/>
      <c r="MF157" s="20"/>
      <c r="MG157" s="20"/>
      <c r="MH157" s="20"/>
      <c r="MI157" s="20"/>
      <c r="MJ157" s="20"/>
      <c r="MK157" s="20"/>
      <c r="ML157" s="20"/>
      <c r="MM157" s="20"/>
      <c r="MN157" s="20"/>
      <c r="MO157" s="20"/>
      <c r="MP157" s="20"/>
      <c r="MQ157" s="20"/>
      <c r="MR157" s="20"/>
      <c r="MS157" s="20"/>
      <c r="MT157" s="20"/>
      <c r="MU157" s="20"/>
      <c r="MV157" s="20"/>
      <c r="MW157" s="20"/>
      <c r="MX157" s="20"/>
      <c r="MY157" s="20"/>
      <c r="MZ157" s="20"/>
      <c r="NA157" s="20"/>
      <c r="NB157" s="20"/>
      <c r="NC157" s="20"/>
      <c r="ND157" s="20"/>
      <c r="NE157" s="20"/>
      <c r="NF157" s="20"/>
      <c r="NG157" s="20"/>
      <c r="NH157" s="20"/>
      <c r="NI157" s="20"/>
      <c r="NJ157" s="20"/>
      <c r="NK157" s="20"/>
      <c r="NL157" s="20"/>
      <c r="NM157" s="20"/>
      <c r="NN157" s="20"/>
      <c r="NO157" s="20"/>
      <c r="NP157" s="20"/>
      <c r="NQ157" s="20"/>
      <c r="NR157" s="20"/>
      <c r="NS157" s="20"/>
      <c r="NT157" s="20"/>
      <c r="NU157" s="20"/>
      <c r="NV157" s="20"/>
      <c r="NW157" s="20"/>
      <c r="NX157" s="20"/>
      <c r="NY157" s="20"/>
      <c r="NZ157" s="20"/>
      <c r="OA157" s="20"/>
      <c r="OB157" s="20"/>
      <c r="OC157" s="20"/>
      <c r="OD157" s="20"/>
      <c r="OE157" s="20"/>
      <c r="OF157" s="20"/>
      <c r="OG157" s="20"/>
      <c r="OH157" s="20"/>
      <c r="OI157" s="20"/>
      <c r="OJ157" s="20"/>
      <c r="OK157" s="20"/>
      <c r="OL157" s="20"/>
      <c r="OM157" s="20"/>
      <c r="ON157" s="20"/>
      <c r="OO157" s="20"/>
      <c r="OP157" s="20"/>
      <c r="OQ157" s="20"/>
      <c r="OR157" s="20"/>
      <c r="OS157" s="20"/>
      <c r="OT157" s="20"/>
      <c r="OU157" s="20"/>
      <c r="OV157" s="20"/>
      <c r="OW157" s="20"/>
      <c r="OX157" s="20"/>
      <c r="OY157" s="20"/>
      <c r="OZ157" s="20"/>
      <c r="PA157" s="20"/>
      <c r="PB157" s="20"/>
      <c r="PC157" s="20"/>
      <c r="PD157" s="20"/>
      <c r="PE157" s="20"/>
      <c r="PF157" s="20"/>
      <c r="PG157" s="20"/>
      <c r="PH157" s="20"/>
      <c r="PI157" s="20"/>
      <c r="PJ157" s="20"/>
      <c r="PK157" s="20"/>
      <c r="PL157" s="20"/>
      <c r="PM157" s="20"/>
      <c r="PN157" s="20"/>
      <c r="PO157" s="20"/>
      <c r="PP157" s="20"/>
      <c r="PQ157" s="20"/>
      <c r="PR157" s="20"/>
      <c r="PS157" s="20"/>
      <c r="PT157" s="20"/>
      <c r="PU157" s="20"/>
      <c r="PV157" s="20"/>
      <c r="PW157" s="20"/>
      <c r="PX157" s="20"/>
      <c r="PY157" s="20"/>
      <c r="PZ157" s="20"/>
      <c r="QA157" s="20"/>
      <c r="QB157" s="20"/>
      <c r="QC157" s="20"/>
      <c r="QD157" s="20"/>
      <c r="QE157" s="20"/>
      <c r="QF157" s="20"/>
      <c r="QG157" s="20"/>
      <c r="QH157" s="20"/>
      <c r="QI157" s="20"/>
      <c r="QJ157" s="20"/>
      <c r="QK157" s="20"/>
      <c r="QL157" s="20"/>
      <c r="QM157" s="20"/>
      <c r="QN157" s="20"/>
      <c r="QO157" s="20"/>
      <c r="QP157" s="20"/>
      <c r="QQ157" s="20"/>
      <c r="QR157" s="20"/>
      <c r="QS157" s="20"/>
      <c r="QT157" s="20"/>
      <c r="QU157" s="20"/>
      <c r="QV157" s="20"/>
      <c r="QW157" s="20"/>
      <c r="QX157" s="20"/>
      <c r="QY157" s="20"/>
      <c r="QZ157" s="20"/>
      <c r="RA157" s="20"/>
      <c r="RB157" s="20"/>
      <c r="RC157" s="20"/>
      <c r="RD157" s="20"/>
      <c r="RE157" s="20"/>
      <c r="RF157" s="20"/>
      <c r="RG157" s="20"/>
      <c r="RH157" s="20"/>
      <c r="RI157" s="20"/>
      <c r="RJ157" s="20"/>
      <c r="RK157" s="20"/>
      <c r="RL157" s="20"/>
      <c r="RM157" s="20"/>
      <c r="RN157" s="20"/>
      <c r="RO157" s="20"/>
      <c r="RP157" s="20"/>
      <c r="RQ157" s="20"/>
      <c r="RR157" s="20"/>
      <c r="RS157" s="20"/>
      <c r="RT157" s="20"/>
      <c r="RU157" s="20"/>
      <c r="RV157" s="20"/>
      <c r="RW157" s="20"/>
      <c r="RX157" s="20"/>
      <c r="RY157" s="20"/>
      <c r="RZ157" s="20"/>
      <c r="SA157" s="20"/>
      <c r="SB157" s="20"/>
      <c r="SC157" s="20"/>
      <c r="SD157" s="20"/>
      <c r="SE157" s="20"/>
      <c r="SF157" s="20"/>
      <c r="SG157" s="20"/>
      <c r="SH157" s="20"/>
      <c r="SI157" s="20"/>
      <c r="SJ157" s="20"/>
      <c r="SK157" s="20"/>
      <c r="SL157" s="20"/>
      <c r="SM157" s="20"/>
      <c r="SN157" s="20"/>
      <c r="SO157" s="20"/>
      <c r="SP157" s="20"/>
      <c r="SQ157" s="20"/>
      <c r="SR157" s="20"/>
      <c r="SS157" s="20"/>
      <c r="ST157" s="20"/>
      <c r="SU157" s="20"/>
      <c r="SV157" s="20"/>
      <c r="SW157" s="20"/>
      <c r="SX157" s="20"/>
      <c r="SY157" s="20"/>
      <c r="SZ157" s="20"/>
      <c r="TA157" s="20"/>
      <c r="TB157" s="20"/>
      <c r="TC157" s="20"/>
      <c r="TD157" s="20"/>
      <c r="TE157" s="20"/>
      <c r="TF157" s="20"/>
      <c r="TG157" s="20"/>
      <c r="TH157" s="20"/>
      <c r="TI157" s="20"/>
      <c r="TJ157" s="20"/>
      <c r="TK157" s="20"/>
      <c r="TL157" s="20"/>
      <c r="TM157" s="20"/>
      <c r="TN157" s="20"/>
      <c r="TO157" s="20"/>
      <c r="TP157" s="20"/>
      <c r="TQ157" s="20"/>
      <c r="TR157" s="20"/>
      <c r="TS157" s="20"/>
      <c r="TT157" s="20"/>
      <c r="TU157" s="20"/>
      <c r="TV157" s="20"/>
      <c r="TW157" s="20"/>
      <c r="TX157" s="20"/>
      <c r="TY157" s="20"/>
      <c r="TZ157" s="20"/>
      <c r="UA157" s="20"/>
      <c r="UB157" s="20"/>
      <c r="UC157" s="20"/>
      <c r="UD157" s="20"/>
      <c r="UE157" s="20"/>
      <c r="UF157" s="20"/>
      <c r="UG157" s="20"/>
      <c r="UH157" s="20"/>
      <c r="UI157" s="20"/>
      <c r="UJ157" s="20"/>
      <c r="UK157" s="20"/>
      <c r="UL157" s="20"/>
      <c r="UM157" s="20"/>
      <c r="UN157" s="20"/>
      <c r="UO157" s="20"/>
      <c r="UP157" s="20"/>
      <c r="UQ157" s="20"/>
      <c r="UR157" s="20"/>
      <c r="US157" s="20"/>
      <c r="UT157" s="20"/>
      <c r="UU157" s="20"/>
      <c r="UV157" s="20"/>
      <c r="UW157" s="20"/>
      <c r="UX157" s="20"/>
      <c r="UY157" s="20"/>
      <c r="UZ157" s="20"/>
      <c r="VA157" s="20"/>
      <c r="VB157" s="20"/>
      <c r="VC157" s="20"/>
      <c r="VD157" s="20"/>
      <c r="VE157" s="20"/>
      <c r="VF157" s="20"/>
      <c r="VG157" s="20"/>
      <c r="VH157" s="20"/>
      <c r="VI157" s="20"/>
      <c r="VJ157" s="20"/>
      <c r="VK157" s="20"/>
      <c r="VL157" s="20"/>
      <c r="VM157" s="20"/>
      <c r="VN157" s="20"/>
      <c r="VO157" s="20"/>
      <c r="VP157" s="20"/>
      <c r="VQ157" s="20"/>
      <c r="VR157" s="20"/>
      <c r="VS157" s="20"/>
      <c r="VT157" s="20"/>
      <c r="VU157" s="20"/>
      <c r="VV157" s="20"/>
      <c r="VW157" s="20"/>
      <c r="VX157" s="20"/>
      <c r="VY157" s="20"/>
      <c r="VZ157" s="20"/>
      <c r="WA157" s="20"/>
      <c r="WB157" s="20"/>
      <c r="WC157" s="20"/>
      <c r="WD157" s="20"/>
      <c r="WE157" s="20"/>
      <c r="WF157" s="20"/>
      <c r="WG157" s="20"/>
      <c r="WH157" s="20"/>
      <c r="WI157" s="20"/>
      <c r="WJ157" s="20"/>
      <c r="WK157" s="20"/>
      <c r="WL157" s="20"/>
      <c r="WM157" s="20"/>
      <c r="WN157" s="20"/>
      <c r="WO157" s="20"/>
      <c r="WP157" s="20"/>
      <c r="WQ157" s="20"/>
      <c r="WR157" s="20"/>
      <c r="WS157" s="20"/>
      <c r="WT157" s="20"/>
      <c r="WU157" s="20"/>
      <c r="WV157" s="20"/>
      <c r="WW157" s="20"/>
      <c r="WX157" s="20"/>
      <c r="WY157" s="20"/>
      <c r="WZ157" s="20"/>
      <c r="XA157" s="20"/>
      <c r="XB157" s="20"/>
      <c r="XC157" s="20"/>
      <c r="XD157" s="20"/>
      <c r="XE157" s="20"/>
      <c r="XF157" s="20"/>
      <c r="XG157" s="20"/>
      <c r="XH157" s="20"/>
      <c r="XI157" s="20"/>
      <c r="XJ157" s="20"/>
      <c r="XK157" s="20"/>
      <c r="XL157" s="20"/>
      <c r="XM157" s="20"/>
      <c r="XN157" s="20"/>
      <c r="XO157" s="20"/>
      <c r="XP157" s="20"/>
      <c r="XQ157" s="20"/>
      <c r="XR157" s="20"/>
      <c r="XS157" s="20"/>
      <c r="XT157" s="20"/>
      <c r="XU157" s="20"/>
      <c r="XV157" s="20"/>
      <c r="XW157" s="20"/>
      <c r="XX157" s="20"/>
      <c r="XY157" s="20"/>
      <c r="XZ157" s="20"/>
      <c r="YA157" s="20"/>
      <c r="YB157" s="20"/>
      <c r="YC157" s="20"/>
      <c r="YD157" s="20"/>
      <c r="YE157" s="20"/>
      <c r="YF157" s="20"/>
      <c r="YG157" s="20"/>
      <c r="YH157" s="20"/>
      <c r="YI157" s="20"/>
      <c r="YJ157" s="20"/>
      <c r="YK157" s="20"/>
      <c r="YL157" s="20"/>
      <c r="YM157" s="20"/>
      <c r="YN157" s="20"/>
      <c r="YO157" s="20"/>
      <c r="YP157" s="20"/>
      <c r="YQ157" s="20"/>
      <c r="YR157" s="20"/>
      <c r="YS157" s="20"/>
      <c r="YT157" s="20"/>
      <c r="YU157" s="20"/>
      <c r="YV157" s="20"/>
      <c r="YW157" s="20"/>
      <c r="YX157" s="20"/>
      <c r="YY157" s="20"/>
      <c r="YZ157" s="20"/>
      <c r="ZA157" s="20"/>
      <c r="ZB157" s="20"/>
      <c r="ZC157" s="20"/>
      <c r="ZD157" s="20"/>
      <c r="ZE157" s="20"/>
      <c r="ZF157" s="20"/>
      <c r="ZG157" s="20"/>
      <c r="ZH157" s="20"/>
      <c r="ZI157" s="20"/>
      <c r="ZJ157" s="20"/>
      <c r="ZK157" s="20"/>
      <c r="ZL157" s="20"/>
      <c r="ZM157" s="20"/>
      <c r="ZN157" s="20"/>
      <c r="ZO157" s="20"/>
      <c r="ZP157" s="20"/>
      <c r="ZQ157" s="20"/>
      <c r="ZR157" s="20"/>
      <c r="ZS157" s="20"/>
      <c r="ZT157" s="20"/>
      <c r="ZU157" s="20"/>
      <c r="ZV157" s="20"/>
      <c r="ZW157" s="20"/>
      <c r="ZX157" s="20"/>
      <c r="ZY157" s="20"/>
      <c r="ZZ157" s="20"/>
      <c r="AAA157" s="20"/>
      <c r="AAB157" s="20"/>
      <c r="AAC157" s="20"/>
      <c r="AAD157" s="20"/>
      <c r="AAE157" s="20"/>
      <c r="AAF157" s="20"/>
      <c r="AAG157" s="20"/>
      <c r="AAH157" s="20"/>
      <c r="AAI157" s="20"/>
      <c r="AAJ157" s="20"/>
      <c r="AAK157" s="20"/>
      <c r="AAL157" s="20"/>
      <c r="AAM157" s="20"/>
      <c r="AAN157" s="20"/>
      <c r="AAO157" s="20"/>
      <c r="AAP157" s="20"/>
      <c r="AAQ157" s="20"/>
      <c r="AAR157" s="20"/>
      <c r="AAS157" s="20"/>
      <c r="AAT157" s="20"/>
      <c r="AAU157" s="20"/>
      <c r="AAV157" s="20"/>
      <c r="AAW157" s="20"/>
      <c r="AAX157" s="20"/>
      <c r="AAY157" s="20"/>
      <c r="AAZ157" s="20"/>
      <c r="ABA157" s="20"/>
      <c r="ABB157" s="20"/>
      <c r="ABC157" s="20"/>
      <c r="ABD157" s="20"/>
      <c r="ABE157" s="20"/>
      <c r="ABF157" s="20"/>
      <c r="ABG157" s="20"/>
      <c r="ABH157" s="20"/>
      <c r="ABI157" s="20"/>
      <c r="ABJ157" s="20"/>
      <c r="ABK157" s="20"/>
      <c r="ABL157" s="20"/>
      <c r="ABM157" s="20"/>
      <c r="ABN157" s="20"/>
      <c r="ABO157" s="20"/>
      <c r="ABP157" s="20"/>
      <c r="ABQ157" s="20"/>
      <c r="ABR157" s="20"/>
      <c r="ABS157" s="20"/>
      <c r="ABT157" s="20"/>
      <c r="ABU157" s="20"/>
      <c r="ABV157" s="20"/>
      <c r="ABW157" s="20"/>
      <c r="ABX157" s="20"/>
      <c r="ABY157" s="20"/>
      <c r="ABZ157" s="20"/>
      <c r="ACA157" s="20"/>
      <c r="ACB157" s="20"/>
      <c r="ACC157" s="20"/>
      <c r="ACD157" s="20"/>
      <c r="ACE157" s="20"/>
      <c r="ACF157" s="20"/>
      <c r="ACG157" s="20"/>
      <c r="ACH157" s="20"/>
      <c r="ACI157" s="20"/>
      <c r="ACJ157" s="20"/>
      <c r="ACK157" s="20"/>
      <c r="ACL157" s="20"/>
      <c r="ACM157" s="20"/>
      <c r="ACN157" s="20"/>
      <c r="ACO157" s="20"/>
      <c r="ACP157" s="20"/>
      <c r="ACQ157" s="20"/>
    </row>
    <row r="158" spans="1:771" s="62" customFormat="1" ht="84.95">
      <c r="A158" s="20"/>
      <c r="B158" s="61" t="s">
        <v>698</v>
      </c>
      <c r="D158" s="61" t="s">
        <v>702</v>
      </c>
      <c r="F158" s="63" t="s">
        <v>370</v>
      </c>
      <c r="H158" s="61" t="s">
        <v>291</v>
      </c>
      <c r="J158" s="61" t="s">
        <v>694</v>
      </c>
      <c r="L158" s="61" t="s">
        <v>74</v>
      </c>
      <c r="N158" s="61" t="s">
        <v>185</v>
      </c>
      <c r="P158" s="61" t="s">
        <v>703</v>
      </c>
      <c r="R158" s="61" t="s">
        <v>77</v>
      </c>
      <c r="T158" s="92" t="s">
        <v>696</v>
      </c>
      <c r="U158" s="66"/>
      <c r="V158" s="67" t="s">
        <v>79</v>
      </c>
      <c r="W158" s="66"/>
      <c r="X158" s="67" t="s">
        <v>80</v>
      </c>
      <c r="Y158" s="69"/>
      <c r="Z158" s="67" t="s">
        <v>80</v>
      </c>
      <c r="AA158" s="66"/>
      <c r="AB158" s="67" t="s">
        <v>80</v>
      </c>
      <c r="AC158" s="66"/>
      <c r="AD158" s="63" t="s">
        <v>704</v>
      </c>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0"/>
      <c r="IO158" s="20"/>
      <c r="IP158" s="20"/>
      <c r="IQ158" s="20"/>
      <c r="IR158" s="20"/>
      <c r="IS158" s="20"/>
      <c r="IT158" s="20"/>
      <c r="IU158" s="20"/>
      <c r="IV158" s="20"/>
      <c r="IW158" s="20"/>
      <c r="IX158" s="20"/>
      <c r="IY158" s="20"/>
      <c r="IZ158" s="20"/>
      <c r="JA158" s="20"/>
      <c r="JB158" s="20"/>
      <c r="JC158" s="20"/>
      <c r="JD158" s="20"/>
      <c r="JE158" s="20"/>
      <c r="JF158" s="20"/>
      <c r="JG158" s="20"/>
      <c r="JH158" s="20"/>
      <c r="JI158" s="20"/>
      <c r="JJ158" s="20"/>
      <c r="JK158" s="20"/>
      <c r="JL158" s="20"/>
      <c r="JM158" s="20"/>
      <c r="JN158" s="20"/>
      <c r="JO158" s="20"/>
      <c r="JP158" s="20"/>
      <c r="JQ158" s="20"/>
      <c r="JR158" s="20"/>
      <c r="JS158" s="20"/>
      <c r="JT158" s="20"/>
      <c r="JU158" s="20"/>
      <c r="JV158" s="20"/>
      <c r="JW158" s="20"/>
      <c r="JX158" s="20"/>
      <c r="JY158" s="20"/>
      <c r="JZ158" s="20"/>
      <c r="KA158" s="20"/>
      <c r="KB158" s="20"/>
      <c r="KC158" s="20"/>
      <c r="KD158" s="20"/>
      <c r="KE158" s="20"/>
      <c r="KF158" s="20"/>
      <c r="KG158" s="20"/>
      <c r="KH158" s="20"/>
      <c r="KI158" s="20"/>
      <c r="KJ158" s="20"/>
      <c r="KK158" s="20"/>
      <c r="KL158" s="20"/>
      <c r="KM158" s="20"/>
      <c r="KN158" s="20"/>
      <c r="KO158" s="20"/>
      <c r="KP158" s="20"/>
      <c r="KQ158" s="20"/>
      <c r="KR158" s="20"/>
      <c r="KS158" s="20"/>
      <c r="KT158" s="20"/>
      <c r="KU158" s="20"/>
      <c r="KV158" s="20"/>
      <c r="KW158" s="20"/>
      <c r="KX158" s="20"/>
      <c r="KY158" s="20"/>
      <c r="KZ158" s="20"/>
      <c r="LA158" s="20"/>
      <c r="LB158" s="20"/>
      <c r="LC158" s="20"/>
      <c r="LD158" s="20"/>
      <c r="LE158" s="20"/>
      <c r="LF158" s="20"/>
      <c r="LG158" s="20"/>
      <c r="LH158" s="20"/>
      <c r="LI158" s="20"/>
      <c r="LJ158" s="20"/>
      <c r="LK158" s="20"/>
      <c r="LL158" s="20"/>
      <c r="LM158" s="20"/>
      <c r="LN158" s="20"/>
      <c r="LO158" s="20"/>
      <c r="LP158" s="20"/>
      <c r="LQ158" s="20"/>
      <c r="LR158" s="20"/>
      <c r="LS158" s="20"/>
      <c r="LT158" s="20"/>
      <c r="LU158" s="20"/>
      <c r="LV158" s="20"/>
      <c r="LW158" s="20"/>
      <c r="LX158" s="20"/>
      <c r="LY158" s="20"/>
      <c r="LZ158" s="20"/>
      <c r="MA158" s="20"/>
      <c r="MB158" s="20"/>
      <c r="MC158" s="20"/>
      <c r="MD158" s="20"/>
      <c r="ME158" s="20"/>
      <c r="MF158" s="20"/>
      <c r="MG158" s="20"/>
      <c r="MH158" s="20"/>
      <c r="MI158" s="20"/>
      <c r="MJ158" s="20"/>
      <c r="MK158" s="20"/>
      <c r="ML158" s="20"/>
      <c r="MM158" s="20"/>
      <c r="MN158" s="20"/>
      <c r="MO158" s="20"/>
      <c r="MP158" s="20"/>
      <c r="MQ158" s="20"/>
      <c r="MR158" s="20"/>
      <c r="MS158" s="20"/>
      <c r="MT158" s="20"/>
      <c r="MU158" s="20"/>
      <c r="MV158" s="20"/>
      <c r="MW158" s="20"/>
      <c r="MX158" s="20"/>
      <c r="MY158" s="20"/>
      <c r="MZ158" s="20"/>
      <c r="NA158" s="20"/>
      <c r="NB158" s="20"/>
      <c r="NC158" s="20"/>
      <c r="ND158" s="20"/>
      <c r="NE158" s="20"/>
      <c r="NF158" s="20"/>
      <c r="NG158" s="20"/>
      <c r="NH158" s="20"/>
      <c r="NI158" s="20"/>
      <c r="NJ158" s="20"/>
      <c r="NK158" s="20"/>
      <c r="NL158" s="20"/>
      <c r="NM158" s="20"/>
      <c r="NN158" s="20"/>
      <c r="NO158" s="20"/>
      <c r="NP158" s="20"/>
      <c r="NQ158" s="20"/>
      <c r="NR158" s="20"/>
      <c r="NS158" s="20"/>
      <c r="NT158" s="20"/>
      <c r="NU158" s="20"/>
      <c r="NV158" s="20"/>
      <c r="NW158" s="20"/>
      <c r="NX158" s="20"/>
      <c r="NY158" s="20"/>
      <c r="NZ158" s="20"/>
      <c r="OA158" s="20"/>
      <c r="OB158" s="20"/>
      <c r="OC158" s="20"/>
      <c r="OD158" s="20"/>
      <c r="OE158" s="20"/>
      <c r="OF158" s="20"/>
      <c r="OG158" s="20"/>
      <c r="OH158" s="20"/>
      <c r="OI158" s="20"/>
      <c r="OJ158" s="20"/>
      <c r="OK158" s="20"/>
      <c r="OL158" s="20"/>
      <c r="OM158" s="20"/>
      <c r="ON158" s="20"/>
      <c r="OO158" s="20"/>
      <c r="OP158" s="20"/>
      <c r="OQ158" s="20"/>
      <c r="OR158" s="20"/>
      <c r="OS158" s="20"/>
      <c r="OT158" s="20"/>
      <c r="OU158" s="20"/>
      <c r="OV158" s="20"/>
      <c r="OW158" s="20"/>
      <c r="OX158" s="20"/>
      <c r="OY158" s="20"/>
      <c r="OZ158" s="20"/>
      <c r="PA158" s="20"/>
      <c r="PB158" s="20"/>
      <c r="PC158" s="20"/>
      <c r="PD158" s="20"/>
      <c r="PE158" s="20"/>
      <c r="PF158" s="20"/>
      <c r="PG158" s="20"/>
      <c r="PH158" s="20"/>
      <c r="PI158" s="20"/>
      <c r="PJ158" s="20"/>
      <c r="PK158" s="20"/>
      <c r="PL158" s="20"/>
      <c r="PM158" s="20"/>
      <c r="PN158" s="20"/>
      <c r="PO158" s="20"/>
      <c r="PP158" s="20"/>
      <c r="PQ158" s="20"/>
      <c r="PR158" s="20"/>
      <c r="PS158" s="20"/>
      <c r="PT158" s="20"/>
      <c r="PU158" s="20"/>
      <c r="PV158" s="20"/>
      <c r="PW158" s="20"/>
      <c r="PX158" s="20"/>
      <c r="PY158" s="20"/>
      <c r="PZ158" s="20"/>
      <c r="QA158" s="20"/>
      <c r="QB158" s="20"/>
      <c r="QC158" s="20"/>
      <c r="QD158" s="20"/>
      <c r="QE158" s="20"/>
      <c r="QF158" s="20"/>
      <c r="QG158" s="20"/>
      <c r="QH158" s="20"/>
      <c r="QI158" s="20"/>
      <c r="QJ158" s="20"/>
      <c r="QK158" s="20"/>
      <c r="QL158" s="20"/>
      <c r="QM158" s="20"/>
      <c r="QN158" s="20"/>
      <c r="QO158" s="20"/>
      <c r="QP158" s="20"/>
      <c r="QQ158" s="20"/>
      <c r="QR158" s="20"/>
      <c r="QS158" s="20"/>
      <c r="QT158" s="20"/>
      <c r="QU158" s="20"/>
      <c r="QV158" s="20"/>
      <c r="QW158" s="20"/>
      <c r="QX158" s="20"/>
      <c r="QY158" s="20"/>
      <c r="QZ158" s="20"/>
      <c r="RA158" s="20"/>
      <c r="RB158" s="20"/>
      <c r="RC158" s="20"/>
      <c r="RD158" s="20"/>
      <c r="RE158" s="20"/>
      <c r="RF158" s="20"/>
      <c r="RG158" s="20"/>
      <c r="RH158" s="20"/>
      <c r="RI158" s="20"/>
      <c r="RJ158" s="20"/>
      <c r="RK158" s="20"/>
      <c r="RL158" s="20"/>
      <c r="RM158" s="20"/>
      <c r="RN158" s="20"/>
      <c r="RO158" s="20"/>
      <c r="RP158" s="20"/>
      <c r="RQ158" s="20"/>
      <c r="RR158" s="20"/>
      <c r="RS158" s="20"/>
      <c r="RT158" s="20"/>
      <c r="RU158" s="20"/>
      <c r="RV158" s="20"/>
      <c r="RW158" s="20"/>
      <c r="RX158" s="20"/>
      <c r="RY158" s="20"/>
      <c r="RZ158" s="20"/>
      <c r="SA158" s="20"/>
      <c r="SB158" s="20"/>
      <c r="SC158" s="20"/>
      <c r="SD158" s="20"/>
      <c r="SE158" s="20"/>
      <c r="SF158" s="20"/>
      <c r="SG158" s="20"/>
      <c r="SH158" s="20"/>
      <c r="SI158" s="20"/>
      <c r="SJ158" s="20"/>
      <c r="SK158" s="20"/>
      <c r="SL158" s="20"/>
      <c r="SM158" s="20"/>
      <c r="SN158" s="20"/>
      <c r="SO158" s="20"/>
      <c r="SP158" s="20"/>
      <c r="SQ158" s="20"/>
      <c r="SR158" s="20"/>
      <c r="SS158" s="20"/>
      <c r="ST158" s="20"/>
      <c r="SU158" s="20"/>
      <c r="SV158" s="20"/>
      <c r="SW158" s="20"/>
      <c r="SX158" s="20"/>
      <c r="SY158" s="20"/>
      <c r="SZ158" s="20"/>
      <c r="TA158" s="20"/>
      <c r="TB158" s="20"/>
      <c r="TC158" s="20"/>
      <c r="TD158" s="20"/>
      <c r="TE158" s="20"/>
      <c r="TF158" s="20"/>
      <c r="TG158" s="20"/>
      <c r="TH158" s="20"/>
      <c r="TI158" s="20"/>
      <c r="TJ158" s="20"/>
      <c r="TK158" s="20"/>
      <c r="TL158" s="20"/>
      <c r="TM158" s="20"/>
      <c r="TN158" s="20"/>
      <c r="TO158" s="20"/>
      <c r="TP158" s="20"/>
      <c r="TQ158" s="20"/>
      <c r="TR158" s="20"/>
      <c r="TS158" s="20"/>
      <c r="TT158" s="20"/>
      <c r="TU158" s="20"/>
      <c r="TV158" s="20"/>
      <c r="TW158" s="20"/>
      <c r="TX158" s="20"/>
      <c r="TY158" s="20"/>
      <c r="TZ158" s="20"/>
      <c r="UA158" s="20"/>
      <c r="UB158" s="20"/>
      <c r="UC158" s="20"/>
      <c r="UD158" s="20"/>
      <c r="UE158" s="20"/>
      <c r="UF158" s="20"/>
      <c r="UG158" s="20"/>
      <c r="UH158" s="20"/>
      <c r="UI158" s="20"/>
      <c r="UJ158" s="20"/>
      <c r="UK158" s="20"/>
      <c r="UL158" s="20"/>
      <c r="UM158" s="20"/>
      <c r="UN158" s="20"/>
      <c r="UO158" s="20"/>
      <c r="UP158" s="20"/>
      <c r="UQ158" s="20"/>
      <c r="UR158" s="20"/>
      <c r="US158" s="20"/>
      <c r="UT158" s="20"/>
      <c r="UU158" s="20"/>
      <c r="UV158" s="20"/>
      <c r="UW158" s="20"/>
      <c r="UX158" s="20"/>
      <c r="UY158" s="20"/>
      <c r="UZ158" s="20"/>
      <c r="VA158" s="20"/>
      <c r="VB158" s="20"/>
      <c r="VC158" s="20"/>
      <c r="VD158" s="20"/>
      <c r="VE158" s="20"/>
      <c r="VF158" s="20"/>
      <c r="VG158" s="20"/>
      <c r="VH158" s="20"/>
      <c r="VI158" s="20"/>
      <c r="VJ158" s="20"/>
      <c r="VK158" s="20"/>
      <c r="VL158" s="20"/>
      <c r="VM158" s="20"/>
      <c r="VN158" s="20"/>
      <c r="VO158" s="20"/>
      <c r="VP158" s="20"/>
      <c r="VQ158" s="20"/>
      <c r="VR158" s="20"/>
      <c r="VS158" s="20"/>
      <c r="VT158" s="20"/>
      <c r="VU158" s="20"/>
      <c r="VV158" s="20"/>
      <c r="VW158" s="20"/>
      <c r="VX158" s="20"/>
      <c r="VY158" s="20"/>
      <c r="VZ158" s="20"/>
      <c r="WA158" s="20"/>
      <c r="WB158" s="20"/>
      <c r="WC158" s="20"/>
      <c r="WD158" s="20"/>
      <c r="WE158" s="20"/>
      <c r="WF158" s="20"/>
      <c r="WG158" s="20"/>
      <c r="WH158" s="20"/>
      <c r="WI158" s="20"/>
      <c r="WJ158" s="20"/>
      <c r="WK158" s="20"/>
      <c r="WL158" s="20"/>
      <c r="WM158" s="20"/>
      <c r="WN158" s="20"/>
      <c r="WO158" s="20"/>
      <c r="WP158" s="20"/>
      <c r="WQ158" s="20"/>
      <c r="WR158" s="20"/>
      <c r="WS158" s="20"/>
      <c r="WT158" s="20"/>
      <c r="WU158" s="20"/>
      <c r="WV158" s="20"/>
      <c r="WW158" s="20"/>
      <c r="WX158" s="20"/>
      <c r="WY158" s="20"/>
      <c r="WZ158" s="20"/>
      <c r="XA158" s="20"/>
      <c r="XB158" s="20"/>
      <c r="XC158" s="20"/>
      <c r="XD158" s="20"/>
      <c r="XE158" s="20"/>
      <c r="XF158" s="20"/>
      <c r="XG158" s="20"/>
      <c r="XH158" s="20"/>
      <c r="XI158" s="20"/>
      <c r="XJ158" s="20"/>
      <c r="XK158" s="20"/>
      <c r="XL158" s="20"/>
      <c r="XM158" s="20"/>
      <c r="XN158" s="20"/>
      <c r="XO158" s="20"/>
      <c r="XP158" s="20"/>
      <c r="XQ158" s="20"/>
      <c r="XR158" s="20"/>
      <c r="XS158" s="20"/>
      <c r="XT158" s="20"/>
      <c r="XU158" s="20"/>
      <c r="XV158" s="20"/>
      <c r="XW158" s="20"/>
      <c r="XX158" s="20"/>
      <c r="XY158" s="20"/>
      <c r="XZ158" s="20"/>
      <c r="YA158" s="20"/>
      <c r="YB158" s="20"/>
      <c r="YC158" s="20"/>
      <c r="YD158" s="20"/>
      <c r="YE158" s="20"/>
      <c r="YF158" s="20"/>
      <c r="YG158" s="20"/>
      <c r="YH158" s="20"/>
      <c r="YI158" s="20"/>
      <c r="YJ158" s="20"/>
      <c r="YK158" s="20"/>
      <c r="YL158" s="20"/>
      <c r="YM158" s="20"/>
      <c r="YN158" s="20"/>
      <c r="YO158" s="20"/>
      <c r="YP158" s="20"/>
      <c r="YQ158" s="20"/>
      <c r="YR158" s="20"/>
      <c r="YS158" s="20"/>
      <c r="YT158" s="20"/>
      <c r="YU158" s="20"/>
      <c r="YV158" s="20"/>
      <c r="YW158" s="20"/>
      <c r="YX158" s="20"/>
      <c r="YY158" s="20"/>
      <c r="YZ158" s="20"/>
      <c r="ZA158" s="20"/>
      <c r="ZB158" s="20"/>
      <c r="ZC158" s="20"/>
      <c r="ZD158" s="20"/>
      <c r="ZE158" s="20"/>
      <c r="ZF158" s="20"/>
      <c r="ZG158" s="20"/>
      <c r="ZH158" s="20"/>
      <c r="ZI158" s="20"/>
      <c r="ZJ158" s="20"/>
      <c r="ZK158" s="20"/>
      <c r="ZL158" s="20"/>
      <c r="ZM158" s="20"/>
      <c r="ZN158" s="20"/>
      <c r="ZO158" s="20"/>
      <c r="ZP158" s="20"/>
      <c r="ZQ158" s="20"/>
      <c r="ZR158" s="20"/>
      <c r="ZS158" s="20"/>
      <c r="ZT158" s="20"/>
      <c r="ZU158" s="20"/>
      <c r="ZV158" s="20"/>
      <c r="ZW158" s="20"/>
      <c r="ZX158" s="20"/>
      <c r="ZY158" s="20"/>
      <c r="ZZ158" s="20"/>
      <c r="AAA158" s="20"/>
      <c r="AAB158" s="20"/>
      <c r="AAC158" s="20"/>
      <c r="AAD158" s="20"/>
      <c r="AAE158" s="20"/>
      <c r="AAF158" s="20"/>
      <c r="AAG158" s="20"/>
      <c r="AAH158" s="20"/>
      <c r="AAI158" s="20"/>
      <c r="AAJ158" s="20"/>
      <c r="AAK158" s="20"/>
      <c r="AAL158" s="20"/>
      <c r="AAM158" s="20"/>
      <c r="AAN158" s="20"/>
      <c r="AAO158" s="20"/>
      <c r="AAP158" s="20"/>
      <c r="AAQ158" s="20"/>
      <c r="AAR158" s="20"/>
      <c r="AAS158" s="20"/>
      <c r="AAT158" s="20"/>
      <c r="AAU158" s="20"/>
      <c r="AAV158" s="20"/>
      <c r="AAW158" s="20"/>
      <c r="AAX158" s="20"/>
      <c r="AAY158" s="20"/>
      <c r="AAZ158" s="20"/>
      <c r="ABA158" s="20"/>
      <c r="ABB158" s="20"/>
      <c r="ABC158" s="20"/>
      <c r="ABD158" s="20"/>
      <c r="ABE158" s="20"/>
      <c r="ABF158" s="20"/>
      <c r="ABG158" s="20"/>
      <c r="ABH158" s="20"/>
      <c r="ABI158" s="20"/>
      <c r="ABJ158" s="20"/>
      <c r="ABK158" s="20"/>
      <c r="ABL158" s="20"/>
      <c r="ABM158" s="20"/>
      <c r="ABN158" s="20"/>
      <c r="ABO158" s="20"/>
      <c r="ABP158" s="20"/>
      <c r="ABQ158" s="20"/>
      <c r="ABR158" s="20"/>
      <c r="ABS158" s="20"/>
      <c r="ABT158" s="20"/>
      <c r="ABU158" s="20"/>
      <c r="ABV158" s="20"/>
      <c r="ABW158" s="20"/>
      <c r="ABX158" s="20"/>
      <c r="ABY158" s="20"/>
      <c r="ABZ158" s="20"/>
      <c r="ACA158" s="20"/>
      <c r="ACB158" s="20"/>
      <c r="ACC158" s="20"/>
      <c r="ACD158" s="20"/>
      <c r="ACE158" s="20"/>
      <c r="ACF158" s="20"/>
      <c r="ACG158" s="20"/>
      <c r="ACH158" s="20"/>
      <c r="ACI158" s="20"/>
      <c r="ACJ158" s="20"/>
      <c r="ACK158" s="20"/>
      <c r="ACL158" s="20"/>
      <c r="ACM158" s="20"/>
      <c r="ACN158" s="20"/>
      <c r="ACO158" s="20"/>
      <c r="ACP158" s="20"/>
      <c r="ACQ158" s="20"/>
    </row>
    <row r="159" spans="1:771" s="62" customFormat="1" ht="68.099999999999994">
      <c r="A159" s="20"/>
      <c r="B159" s="61" t="s">
        <v>705</v>
      </c>
      <c r="D159" s="61" t="s">
        <v>370</v>
      </c>
      <c r="F159" s="63" t="s">
        <v>370</v>
      </c>
      <c r="H159" s="61" t="s">
        <v>298</v>
      </c>
      <c r="J159" s="61" t="s">
        <v>694</v>
      </c>
      <c r="L159" s="61" t="s">
        <v>74</v>
      </c>
      <c r="N159" s="61" t="s">
        <v>185</v>
      </c>
      <c r="P159" s="61" t="s">
        <v>706</v>
      </c>
      <c r="R159" s="61" t="s">
        <v>77</v>
      </c>
      <c r="T159" s="92" t="s">
        <v>707</v>
      </c>
      <c r="U159" s="66"/>
      <c r="V159" s="67" t="s">
        <v>79</v>
      </c>
      <c r="W159" s="66"/>
      <c r="X159" s="67" t="s">
        <v>80</v>
      </c>
      <c r="Y159" s="69"/>
      <c r="Z159" s="67" t="s">
        <v>80</v>
      </c>
      <c r="AA159" s="66"/>
      <c r="AB159" s="67" t="s">
        <v>80</v>
      </c>
      <c r="AC159" s="66"/>
      <c r="AD159" s="63" t="s">
        <v>708</v>
      </c>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0"/>
      <c r="IO159" s="20"/>
      <c r="IP159" s="20"/>
      <c r="IQ159" s="20"/>
      <c r="IR159" s="20"/>
      <c r="IS159" s="20"/>
      <c r="IT159" s="20"/>
      <c r="IU159" s="20"/>
      <c r="IV159" s="20"/>
      <c r="IW159" s="20"/>
      <c r="IX159" s="20"/>
      <c r="IY159" s="20"/>
      <c r="IZ159" s="20"/>
      <c r="JA159" s="20"/>
      <c r="JB159" s="20"/>
      <c r="JC159" s="20"/>
      <c r="JD159" s="20"/>
      <c r="JE159" s="20"/>
      <c r="JF159" s="20"/>
      <c r="JG159" s="20"/>
      <c r="JH159" s="20"/>
      <c r="JI159" s="20"/>
      <c r="JJ159" s="20"/>
      <c r="JK159" s="20"/>
      <c r="JL159" s="20"/>
      <c r="JM159" s="20"/>
      <c r="JN159" s="20"/>
      <c r="JO159" s="20"/>
      <c r="JP159" s="20"/>
      <c r="JQ159" s="20"/>
      <c r="JR159" s="20"/>
      <c r="JS159" s="20"/>
      <c r="JT159" s="20"/>
      <c r="JU159" s="20"/>
      <c r="JV159" s="20"/>
      <c r="JW159" s="20"/>
      <c r="JX159" s="20"/>
      <c r="JY159" s="20"/>
      <c r="JZ159" s="20"/>
      <c r="KA159" s="20"/>
      <c r="KB159" s="20"/>
      <c r="KC159" s="20"/>
      <c r="KD159" s="20"/>
      <c r="KE159" s="20"/>
      <c r="KF159" s="20"/>
      <c r="KG159" s="20"/>
      <c r="KH159" s="20"/>
      <c r="KI159" s="20"/>
      <c r="KJ159" s="20"/>
      <c r="KK159" s="20"/>
      <c r="KL159" s="20"/>
      <c r="KM159" s="20"/>
      <c r="KN159" s="20"/>
      <c r="KO159" s="20"/>
      <c r="KP159" s="20"/>
      <c r="KQ159" s="20"/>
      <c r="KR159" s="20"/>
      <c r="KS159" s="20"/>
      <c r="KT159" s="20"/>
      <c r="KU159" s="20"/>
      <c r="KV159" s="20"/>
      <c r="KW159" s="20"/>
      <c r="KX159" s="20"/>
      <c r="KY159" s="20"/>
      <c r="KZ159" s="20"/>
      <c r="LA159" s="20"/>
      <c r="LB159" s="20"/>
      <c r="LC159" s="20"/>
      <c r="LD159" s="20"/>
      <c r="LE159" s="20"/>
      <c r="LF159" s="20"/>
      <c r="LG159" s="20"/>
      <c r="LH159" s="20"/>
      <c r="LI159" s="20"/>
      <c r="LJ159" s="20"/>
      <c r="LK159" s="20"/>
      <c r="LL159" s="20"/>
      <c r="LM159" s="20"/>
      <c r="LN159" s="20"/>
      <c r="LO159" s="20"/>
      <c r="LP159" s="20"/>
      <c r="LQ159" s="20"/>
      <c r="LR159" s="20"/>
      <c r="LS159" s="20"/>
      <c r="LT159" s="20"/>
      <c r="LU159" s="20"/>
      <c r="LV159" s="20"/>
      <c r="LW159" s="20"/>
      <c r="LX159" s="20"/>
      <c r="LY159" s="20"/>
      <c r="LZ159" s="20"/>
      <c r="MA159" s="20"/>
      <c r="MB159" s="20"/>
      <c r="MC159" s="20"/>
      <c r="MD159" s="20"/>
      <c r="ME159" s="20"/>
      <c r="MF159" s="20"/>
      <c r="MG159" s="20"/>
      <c r="MH159" s="20"/>
      <c r="MI159" s="20"/>
      <c r="MJ159" s="20"/>
      <c r="MK159" s="20"/>
      <c r="ML159" s="20"/>
      <c r="MM159" s="20"/>
      <c r="MN159" s="20"/>
      <c r="MO159" s="20"/>
      <c r="MP159" s="20"/>
      <c r="MQ159" s="20"/>
      <c r="MR159" s="20"/>
      <c r="MS159" s="20"/>
      <c r="MT159" s="20"/>
      <c r="MU159" s="20"/>
      <c r="MV159" s="20"/>
      <c r="MW159" s="20"/>
      <c r="MX159" s="20"/>
      <c r="MY159" s="20"/>
      <c r="MZ159" s="20"/>
      <c r="NA159" s="20"/>
      <c r="NB159" s="20"/>
      <c r="NC159" s="20"/>
      <c r="ND159" s="20"/>
      <c r="NE159" s="20"/>
      <c r="NF159" s="20"/>
      <c r="NG159" s="20"/>
      <c r="NH159" s="20"/>
      <c r="NI159" s="20"/>
      <c r="NJ159" s="20"/>
      <c r="NK159" s="20"/>
      <c r="NL159" s="20"/>
      <c r="NM159" s="20"/>
      <c r="NN159" s="20"/>
      <c r="NO159" s="20"/>
      <c r="NP159" s="20"/>
      <c r="NQ159" s="20"/>
      <c r="NR159" s="20"/>
      <c r="NS159" s="20"/>
      <c r="NT159" s="20"/>
      <c r="NU159" s="20"/>
      <c r="NV159" s="20"/>
      <c r="NW159" s="20"/>
      <c r="NX159" s="20"/>
      <c r="NY159" s="20"/>
      <c r="NZ159" s="20"/>
      <c r="OA159" s="20"/>
      <c r="OB159" s="20"/>
      <c r="OC159" s="20"/>
      <c r="OD159" s="20"/>
      <c r="OE159" s="20"/>
      <c r="OF159" s="20"/>
      <c r="OG159" s="20"/>
      <c r="OH159" s="20"/>
      <c r="OI159" s="20"/>
      <c r="OJ159" s="20"/>
      <c r="OK159" s="20"/>
      <c r="OL159" s="20"/>
      <c r="OM159" s="20"/>
      <c r="ON159" s="20"/>
      <c r="OO159" s="20"/>
      <c r="OP159" s="20"/>
      <c r="OQ159" s="20"/>
      <c r="OR159" s="20"/>
      <c r="OS159" s="20"/>
      <c r="OT159" s="20"/>
      <c r="OU159" s="20"/>
      <c r="OV159" s="20"/>
      <c r="OW159" s="20"/>
      <c r="OX159" s="20"/>
      <c r="OY159" s="20"/>
      <c r="OZ159" s="20"/>
      <c r="PA159" s="20"/>
      <c r="PB159" s="20"/>
      <c r="PC159" s="20"/>
      <c r="PD159" s="20"/>
      <c r="PE159" s="20"/>
      <c r="PF159" s="20"/>
      <c r="PG159" s="20"/>
      <c r="PH159" s="20"/>
      <c r="PI159" s="20"/>
      <c r="PJ159" s="20"/>
      <c r="PK159" s="20"/>
      <c r="PL159" s="20"/>
      <c r="PM159" s="20"/>
      <c r="PN159" s="20"/>
      <c r="PO159" s="20"/>
      <c r="PP159" s="20"/>
      <c r="PQ159" s="20"/>
      <c r="PR159" s="20"/>
      <c r="PS159" s="20"/>
      <c r="PT159" s="20"/>
      <c r="PU159" s="20"/>
      <c r="PV159" s="20"/>
      <c r="PW159" s="20"/>
      <c r="PX159" s="20"/>
      <c r="PY159" s="20"/>
      <c r="PZ159" s="20"/>
      <c r="QA159" s="20"/>
      <c r="QB159" s="20"/>
      <c r="QC159" s="20"/>
      <c r="QD159" s="20"/>
      <c r="QE159" s="20"/>
      <c r="QF159" s="20"/>
      <c r="QG159" s="20"/>
      <c r="QH159" s="20"/>
      <c r="QI159" s="20"/>
      <c r="QJ159" s="20"/>
      <c r="QK159" s="20"/>
      <c r="QL159" s="20"/>
      <c r="QM159" s="20"/>
      <c r="QN159" s="20"/>
      <c r="QO159" s="20"/>
      <c r="QP159" s="20"/>
      <c r="QQ159" s="20"/>
      <c r="QR159" s="20"/>
      <c r="QS159" s="20"/>
      <c r="QT159" s="20"/>
      <c r="QU159" s="20"/>
      <c r="QV159" s="20"/>
      <c r="QW159" s="20"/>
      <c r="QX159" s="20"/>
      <c r="QY159" s="20"/>
      <c r="QZ159" s="20"/>
      <c r="RA159" s="20"/>
      <c r="RB159" s="20"/>
      <c r="RC159" s="20"/>
      <c r="RD159" s="20"/>
      <c r="RE159" s="20"/>
      <c r="RF159" s="20"/>
      <c r="RG159" s="20"/>
      <c r="RH159" s="20"/>
      <c r="RI159" s="20"/>
      <c r="RJ159" s="20"/>
      <c r="RK159" s="20"/>
      <c r="RL159" s="20"/>
      <c r="RM159" s="20"/>
      <c r="RN159" s="20"/>
      <c r="RO159" s="20"/>
      <c r="RP159" s="20"/>
      <c r="RQ159" s="20"/>
      <c r="RR159" s="20"/>
      <c r="RS159" s="20"/>
      <c r="RT159" s="20"/>
      <c r="RU159" s="20"/>
      <c r="RV159" s="20"/>
      <c r="RW159" s="20"/>
      <c r="RX159" s="20"/>
      <c r="RY159" s="20"/>
      <c r="RZ159" s="20"/>
      <c r="SA159" s="20"/>
      <c r="SB159" s="20"/>
      <c r="SC159" s="20"/>
      <c r="SD159" s="20"/>
      <c r="SE159" s="20"/>
      <c r="SF159" s="20"/>
      <c r="SG159" s="20"/>
      <c r="SH159" s="20"/>
      <c r="SI159" s="20"/>
      <c r="SJ159" s="20"/>
      <c r="SK159" s="20"/>
      <c r="SL159" s="20"/>
      <c r="SM159" s="20"/>
      <c r="SN159" s="20"/>
      <c r="SO159" s="20"/>
      <c r="SP159" s="20"/>
      <c r="SQ159" s="20"/>
      <c r="SR159" s="20"/>
      <c r="SS159" s="20"/>
      <c r="ST159" s="20"/>
      <c r="SU159" s="20"/>
      <c r="SV159" s="20"/>
      <c r="SW159" s="20"/>
      <c r="SX159" s="20"/>
      <c r="SY159" s="20"/>
      <c r="SZ159" s="20"/>
      <c r="TA159" s="20"/>
      <c r="TB159" s="20"/>
      <c r="TC159" s="20"/>
      <c r="TD159" s="20"/>
      <c r="TE159" s="20"/>
      <c r="TF159" s="20"/>
      <c r="TG159" s="20"/>
      <c r="TH159" s="20"/>
      <c r="TI159" s="20"/>
      <c r="TJ159" s="20"/>
      <c r="TK159" s="20"/>
      <c r="TL159" s="20"/>
      <c r="TM159" s="20"/>
      <c r="TN159" s="20"/>
      <c r="TO159" s="20"/>
      <c r="TP159" s="20"/>
      <c r="TQ159" s="20"/>
      <c r="TR159" s="20"/>
      <c r="TS159" s="20"/>
      <c r="TT159" s="20"/>
      <c r="TU159" s="20"/>
      <c r="TV159" s="20"/>
      <c r="TW159" s="20"/>
      <c r="TX159" s="20"/>
      <c r="TY159" s="20"/>
      <c r="TZ159" s="20"/>
      <c r="UA159" s="20"/>
      <c r="UB159" s="20"/>
      <c r="UC159" s="20"/>
      <c r="UD159" s="20"/>
      <c r="UE159" s="20"/>
      <c r="UF159" s="20"/>
      <c r="UG159" s="20"/>
      <c r="UH159" s="20"/>
      <c r="UI159" s="20"/>
      <c r="UJ159" s="20"/>
      <c r="UK159" s="20"/>
      <c r="UL159" s="20"/>
      <c r="UM159" s="20"/>
      <c r="UN159" s="20"/>
      <c r="UO159" s="20"/>
      <c r="UP159" s="20"/>
      <c r="UQ159" s="20"/>
      <c r="UR159" s="20"/>
      <c r="US159" s="20"/>
      <c r="UT159" s="20"/>
      <c r="UU159" s="20"/>
      <c r="UV159" s="20"/>
      <c r="UW159" s="20"/>
      <c r="UX159" s="20"/>
      <c r="UY159" s="20"/>
      <c r="UZ159" s="20"/>
      <c r="VA159" s="20"/>
      <c r="VB159" s="20"/>
      <c r="VC159" s="20"/>
      <c r="VD159" s="20"/>
      <c r="VE159" s="20"/>
      <c r="VF159" s="20"/>
      <c r="VG159" s="20"/>
      <c r="VH159" s="20"/>
      <c r="VI159" s="20"/>
      <c r="VJ159" s="20"/>
      <c r="VK159" s="20"/>
      <c r="VL159" s="20"/>
      <c r="VM159" s="20"/>
      <c r="VN159" s="20"/>
      <c r="VO159" s="20"/>
      <c r="VP159" s="20"/>
      <c r="VQ159" s="20"/>
      <c r="VR159" s="20"/>
      <c r="VS159" s="20"/>
      <c r="VT159" s="20"/>
      <c r="VU159" s="20"/>
      <c r="VV159" s="20"/>
      <c r="VW159" s="20"/>
      <c r="VX159" s="20"/>
      <c r="VY159" s="20"/>
      <c r="VZ159" s="20"/>
      <c r="WA159" s="20"/>
      <c r="WB159" s="20"/>
      <c r="WC159" s="20"/>
      <c r="WD159" s="20"/>
      <c r="WE159" s="20"/>
      <c r="WF159" s="20"/>
      <c r="WG159" s="20"/>
      <c r="WH159" s="20"/>
      <c r="WI159" s="20"/>
      <c r="WJ159" s="20"/>
      <c r="WK159" s="20"/>
      <c r="WL159" s="20"/>
      <c r="WM159" s="20"/>
      <c r="WN159" s="20"/>
      <c r="WO159" s="20"/>
      <c r="WP159" s="20"/>
      <c r="WQ159" s="20"/>
      <c r="WR159" s="20"/>
      <c r="WS159" s="20"/>
      <c r="WT159" s="20"/>
      <c r="WU159" s="20"/>
      <c r="WV159" s="20"/>
      <c r="WW159" s="20"/>
      <c r="WX159" s="20"/>
      <c r="WY159" s="20"/>
      <c r="WZ159" s="20"/>
      <c r="XA159" s="20"/>
      <c r="XB159" s="20"/>
      <c r="XC159" s="20"/>
      <c r="XD159" s="20"/>
      <c r="XE159" s="20"/>
      <c r="XF159" s="20"/>
      <c r="XG159" s="20"/>
      <c r="XH159" s="20"/>
      <c r="XI159" s="20"/>
      <c r="XJ159" s="20"/>
      <c r="XK159" s="20"/>
      <c r="XL159" s="20"/>
      <c r="XM159" s="20"/>
      <c r="XN159" s="20"/>
      <c r="XO159" s="20"/>
      <c r="XP159" s="20"/>
      <c r="XQ159" s="20"/>
      <c r="XR159" s="20"/>
      <c r="XS159" s="20"/>
      <c r="XT159" s="20"/>
      <c r="XU159" s="20"/>
      <c r="XV159" s="20"/>
      <c r="XW159" s="20"/>
      <c r="XX159" s="20"/>
      <c r="XY159" s="20"/>
      <c r="XZ159" s="20"/>
      <c r="YA159" s="20"/>
      <c r="YB159" s="20"/>
      <c r="YC159" s="20"/>
      <c r="YD159" s="20"/>
      <c r="YE159" s="20"/>
      <c r="YF159" s="20"/>
      <c r="YG159" s="20"/>
      <c r="YH159" s="20"/>
      <c r="YI159" s="20"/>
      <c r="YJ159" s="20"/>
      <c r="YK159" s="20"/>
      <c r="YL159" s="20"/>
      <c r="YM159" s="20"/>
      <c r="YN159" s="20"/>
      <c r="YO159" s="20"/>
      <c r="YP159" s="20"/>
      <c r="YQ159" s="20"/>
      <c r="YR159" s="20"/>
      <c r="YS159" s="20"/>
      <c r="YT159" s="20"/>
      <c r="YU159" s="20"/>
      <c r="YV159" s="20"/>
      <c r="YW159" s="20"/>
      <c r="YX159" s="20"/>
      <c r="YY159" s="20"/>
      <c r="YZ159" s="20"/>
      <c r="ZA159" s="20"/>
      <c r="ZB159" s="20"/>
      <c r="ZC159" s="20"/>
      <c r="ZD159" s="20"/>
      <c r="ZE159" s="20"/>
      <c r="ZF159" s="20"/>
      <c r="ZG159" s="20"/>
      <c r="ZH159" s="20"/>
      <c r="ZI159" s="20"/>
      <c r="ZJ159" s="20"/>
      <c r="ZK159" s="20"/>
      <c r="ZL159" s="20"/>
      <c r="ZM159" s="20"/>
      <c r="ZN159" s="20"/>
      <c r="ZO159" s="20"/>
      <c r="ZP159" s="20"/>
      <c r="ZQ159" s="20"/>
      <c r="ZR159" s="20"/>
      <c r="ZS159" s="20"/>
      <c r="ZT159" s="20"/>
      <c r="ZU159" s="20"/>
      <c r="ZV159" s="20"/>
      <c r="ZW159" s="20"/>
      <c r="ZX159" s="20"/>
      <c r="ZY159" s="20"/>
      <c r="ZZ159" s="20"/>
      <c r="AAA159" s="20"/>
      <c r="AAB159" s="20"/>
      <c r="AAC159" s="20"/>
      <c r="AAD159" s="20"/>
      <c r="AAE159" s="20"/>
      <c r="AAF159" s="20"/>
      <c r="AAG159" s="20"/>
      <c r="AAH159" s="20"/>
      <c r="AAI159" s="20"/>
      <c r="AAJ159" s="20"/>
      <c r="AAK159" s="20"/>
      <c r="AAL159" s="20"/>
      <c r="AAM159" s="20"/>
      <c r="AAN159" s="20"/>
      <c r="AAO159" s="20"/>
      <c r="AAP159" s="20"/>
      <c r="AAQ159" s="20"/>
      <c r="AAR159" s="20"/>
      <c r="AAS159" s="20"/>
      <c r="AAT159" s="20"/>
      <c r="AAU159" s="20"/>
      <c r="AAV159" s="20"/>
      <c r="AAW159" s="20"/>
      <c r="AAX159" s="20"/>
      <c r="AAY159" s="20"/>
      <c r="AAZ159" s="20"/>
      <c r="ABA159" s="20"/>
      <c r="ABB159" s="20"/>
      <c r="ABC159" s="20"/>
      <c r="ABD159" s="20"/>
      <c r="ABE159" s="20"/>
      <c r="ABF159" s="20"/>
      <c r="ABG159" s="20"/>
      <c r="ABH159" s="20"/>
      <c r="ABI159" s="20"/>
      <c r="ABJ159" s="20"/>
      <c r="ABK159" s="20"/>
      <c r="ABL159" s="20"/>
      <c r="ABM159" s="20"/>
      <c r="ABN159" s="20"/>
      <c r="ABO159" s="20"/>
      <c r="ABP159" s="20"/>
      <c r="ABQ159" s="20"/>
      <c r="ABR159" s="20"/>
      <c r="ABS159" s="20"/>
      <c r="ABT159" s="20"/>
      <c r="ABU159" s="20"/>
      <c r="ABV159" s="20"/>
      <c r="ABW159" s="20"/>
      <c r="ABX159" s="20"/>
      <c r="ABY159" s="20"/>
      <c r="ABZ159" s="20"/>
      <c r="ACA159" s="20"/>
      <c r="ACB159" s="20"/>
      <c r="ACC159" s="20"/>
      <c r="ACD159" s="20"/>
      <c r="ACE159" s="20"/>
      <c r="ACF159" s="20"/>
      <c r="ACG159" s="20"/>
      <c r="ACH159" s="20"/>
      <c r="ACI159" s="20"/>
      <c r="ACJ159" s="20"/>
      <c r="ACK159" s="20"/>
      <c r="ACL159" s="20"/>
      <c r="ACM159" s="20"/>
      <c r="ACN159" s="20"/>
      <c r="ACO159" s="20"/>
      <c r="ACP159" s="20"/>
      <c r="ACQ159" s="20"/>
    </row>
    <row r="160" spans="1:771" s="62" customFormat="1" ht="84" customHeight="1">
      <c r="A160" s="20"/>
      <c r="B160" s="61" t="s">
        <v>698</v>
      </c>
      <c r="D160" s="61" t="s">
        <v>709</v>
      </c>
      <c r="F160" s="63" t="s">
        <v>394</v>
      </c>
      <c r="H160" s="61" t="s">
        <v>298</v>
      </c>
      <c r="J160" s="61" t="s">
        <v>694</v>
      </c>
      <c r="L160" s="61" t="s">
        <v>74</v>
      </c>
      <c r="N160" s="61" t="s">
        <v>185</v>
      </c>
      <c r="P160" s="61" t="s">
        <v>710</v>
      </c>
      <c r="R160" s="61" t="s">
        <v>77</v>
      </c>
      <c r="T160" s="92" t="s">
        <v>696</v>
      </c>
      <c r="U160" s="66"/>
      <c r="V160" s="67" t="s">
        <v>79</v>
      </c>
      <c r="W160" s="66"/>
      <c r="X160" s="67" t="s">
        <v>80</v>
      </c>
      <c r="Y160" s="69"/>
      <c r="Z160" s="67" t="s">
        <v>80</v>
      </c>
      <c r="AA160" s="66"/>
      <c r="AB160" s="67" t="s">
        <v>80</v>
      </c>
      <c r="AC160" s="66"/>
      <c r="AD160" s="63" t="s">
        <v>708</v>
      </c>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0"/>
      <c r="IO160" s="20"/>
      <c r="IP160" s="20"/>
      <c r="IQ160" s="20"/>
      <c r="IR160" s="20"/>
      <c r="IS160" s="20"/>
      <c r="IT160" s="20"/>
      <c r="IU160" s="20"/>
      <c r="IV160" s="20"/>
      <c r="IW160" s="20"/>
      <c r="IX160" s="20"/>
      <c r="IY160" s="20"/>
      <c r="IZ160" s="20"/>
      <c r="JA160" s="20"/>
      <c r="JB160" s="20"/>
      <c r="JC160" s="20"/>
      <c r="JD160" s="20"/>
      <c r="JE160" s="20"/>
      <c r="JF160" s="20"/>
      <c r="JG160" s="20"/>
      <c r="JH160" s="20"/>
      <c r="JI160" s="20"/>
      <c r="JJ160" s="20"/>
      <c r="JK160" s="20"/>
      <c r="JL160" s="20"/>
      <c r="JM160" s="20"/>
      <c r="JN160" s="20"/>
      <c r="JO160" s="20"/>
      <c r="JP160" s="20"/>
      <c r="JQ160" s="20"/>
      <c r="JR160" s="20"/>
      <c r="JS160" s="20"/>
      <c r="JT160" s="20"/>
      <c r="JU160" s="20"/>
      <c r="JV160" s="20"/>
      <c r="JW160" s="20"/>
      <c r="JX160" s="20"/>
      <c r="JY160" s="20"/>
      <c r="JZ160" s="20"/>
      <c r="KA160" s="20"/>
      <c r="KB160" s="20"/>
      <c r="KC160" s="20"/>
      <c r="KD160" s="20"/>
      <c r="KE160" s="20"/>
      <c r="KF160" s="20"/>
      <c r="KG160" s="20"/>
      <c r="KH160" s="20"/>
      <c r="KI160" s="20"/>
      <c r="KJ160" s="20"/>
      <c r="KK160" s="20"/>
      <c r="KL160" s="20"/>
      <c r="KM160" s="20"/>
      <c r="KN160" s="20"/>
      <c r="KO160" s="20"/>
      <c r="KP160" s="20"/>
      <c r="KQ160" s="20"/>
      <c r="KR160" s="20"/>
      <c r="KS160" s="20"/>
      <c r="KT160" s="20"/>
      <c r="KU160" s="20"/>
      <c r="KV160" s="20"/>
      <c r="KW160" s="20"/>
      <c r="KX160" s="20"/>
      <c r="KY160" s="20"/>
      <c r="KZ160" s="20"/>
      <c r="LA160" s="20"/>
      <c r="LB160" s="20"/>
      <c r="LC160" s="20"/>
      <c r="LD160" s="20"/>
      <c r="LE160" s="20"/>
      <c r="LF160" s="20"/>
      <c r="LG160" s="20"/>
      <c r="LH160" s="20"/>
      <c r="LI160" s="20"/>
      <c r="LJ160" s="20"/>
      <c r="LK160" s="20"/>
      <c r="LL160" s="20"/>
      <c r="LM160" s="20"/>
      <c r="LN160" s="20"/>
      <c r="LO160" s="20"/>
      <c r="LP160" s="20"/>
      <c r="LQ160" s="20"/>
      <c r="LR160" s="20"/>
      <c r="LS160" s="20"/>
      <c r="LT160" s="20"/>
      <c r="LU160" s="20"/>
      <c r="LV160" s="20"/>
      <c r="LW160" s="20"/>
      <c r="LX160" s="20"/>
      <c r="LY160" s="20"/>
      <c r="LZ160" s="20"/>
      <c r="MA160" s="20"/>
      <c r="MB160" s="20"/>
      <c r="MC160" s="20"/>
      <c r="MD160" s="20"/>
      <c r="ME160" s="20"/>
      <c r="MF160" s="20"/>
      <c r="MG160" s="20"/>
      <c r="MH160" s="20"/>
      <c r="MI160" s="20"/>
      <c r="MJ160" s="20"/>
      <c r="MK160" s="20"/>
      <c r="ML160" s="20"/>
      <c r="MM160" s="20"/>
      <c r="MN160" s="20"/>
      <c r="MO160" s="20"/>
      <c r="MP160" s="20"/>
      <c r="MQ160" s="20"/>
      <c r="MR160" s="20"/>
      <c r="MS160" s="20"/>
      <c r="MT160" s="20"/>
      <c r="MU160" s="20"/>
      <c r="MV160" s="20"/>
      <c r="MW160" s="20"/>
      <c r="MX160" s="20"/>
      <c r="MY160" s="20"/>
      <c r="MZ160" s="20"/>
      <c r="NA160" s="20"/>
      <c r="NB160" s="20"/>
      <c r="NC160" s="20"/>
      <c r="ND160" s="20"/>
      <c r="NE160" s="20"/>
      <c r="NF160" s="20"/>
      <c r="NG160" s="20"/>
      <c r="NH160" s="20"/>
      <c r="NI160" s="20"/>
      <c r="NJ160" s="20"/>
      <c r="NK160" s="20"/>
      <c r="NL160" s="20"/>
      <c r="NM160" s="20"/>
      <c r="NN160" s="20"/>
      <c r="NO160" s="20"/>
      <c r="NP160" s="20"/>
      <c r="NQ160" s="20"/>
      <c r="NR160" s="20"/>
      <c r="NS160" s="20"/>
      <c r="NT160" s="20"/>
      <c r="NU160" s="20"/>
      <c r="NV160" s="20"/>
      <c r="NW160" s="20"/>
      <c r="NX160" s="20"/>
      <c r="NY160" s="20"/>
      <c r="NZ160" s="20"/>
      <c r="OA160" s="20"/>
      <c r="OB160" s="20"/>
      <c r="OC160" s="20"/>
      <c r="OD160" s="20"/>
      <c r="OE160" s="20"/>
      <c r="OF160" s="20"/>
      <c r="OG160" s="20"/>
      <c r="OH160" s="20"/>
      <c r="OI160" s="20"/>
      <c r="OJ160" s="20"/>
      <c r="OK160" s="20"/>
      <c r="OL160" s="20"/>
      <c r="OM160" s="20"/>
      <c r="ON160" s="20"/>
      <c r="OO160" s="20"/>
      <c r="OP160" s="20"/>
      <c r="OQ160" s="20"/>
      <c r="OR160" s="20"/>
      <c r="OS160" s="20"/>
      <c r="OT160" s="20"/>
      <c r="OU160" s="20"/>
      <c r="OV160" s="20"/>
      <c r="OW160" s="20"/>
      <c r="OX160" s="20"/>
      <c r="OY160" s="20"/>
      <c r="OZ160" s="20"/>
      <c r="PA160" s="20"/>
      <c r="PB160" s="20"/>
      <c r="PC160" s="20"/>
      <c r="PD160" s="20"/>
      <c r="PE160" s="20"/>
      <c r="PF160" s="20"/>
      <c r="PG160" s="20"/>
      <c r="PH160" s="20"/>
      <c r="PI160" s="20"/>
      <c r="PJ160" s="20"/>
      <c r="PK160" s="20"/>
      <c r="PL160" s="20"/>
      <c r="PM160" s="20"/>
      <c r="PN160" s="20"/>
      <c r="PO160" s="20"/>
      <c r="PP160" s="20"/>
      <c r="PQ160" s="20"/>
      <c r="PR160" s="20"/>
      <c r="PS160" s="20"/>
      <c r="PT160" s="20"/>
      <c r="PU160" s="20"/>
      <c r="PV160" s="20"/>
      <c r="PW160" s="20"/>
      <c r="PX160" s="20"/>
      <c r="PY160" s="20"/>
      <c r="PZ160" s="20"/>
      <c r="QA160" s="20"/>
      <c r="QB160" s="20"/>
      <c r="QC160" s="20"/>
      <c r="QD160" s="20"/>
      <c r="QE160" s="20"/>
      <c r="QF160" s="20"/>
      <c r="QG160" s="20"/>
      <c r="QH160" s="20"/>
      <c r="QI160" s="20"/>
      <c r="QJ160" s="20"/>
      <c r="QK160" s="20"/>
      <c r="QL160" s="20"/>
      <c r="QM160" s="20"/>
      <c r="QN160" s="20"/>
      <c r="QO160" s="20"/>
      <c r="QP160" s="20"/>
      <c r="QQ160" s="20"/>
      <c r="QR160" s="20"/>
      <c r="QS160" s="20"/>
      <c r="QT160" s="20"/>
      <c r="QU160" s="20"/>
      <c r="QV160" s="20"/>
      <c r="QW160" s="20"/>
      <c r="QX160" s="20"/>
      <c r="QY160" s="20"/>
      <c r="QZ160" s="20"/>
      <c r="RA160" s="20"/>
      <c r="RB160" s="20"/>
      <c r="RC160" s="20"/>
      <c r="RD160" s="20"/>
      <c r="RE160" s="20"/>
      <c r="RF160" s="20"/>
      <c r="RG160" s="20"/>
      <c r="RH160" s="20"/>
      <c r="RI160" s="20"/>
      <c r="RJ160" s="20"/>
      <c r="RK160" s="20"/>
      <c r="RL160" s="20"/>
      <c r="RM160" s="20"/>
      <c r="RN160" s="20"/>
      <c r="RO160" s="20"/>
      <c r="RP160" s="20"/>
      <c r="RQ160" s="20"/>
      <c r="RR160" s="20"/>
      <c r="RS160" s="20"/>
      <c r="RT160" s="20"/>
      <c r="RU160" s="20"/>
      <c r="RV160" s="20"/>
      <c r="RW160" s="20"/>
      <c r="RX160" s="20"/>
      <c r="RY160" s="20"/>
      <c r="RZ160" s="20"/>
      <c r="SA160" s="20"/>
      <c r="SB160" s="20"/>
      <c r="SC160" s="20"/>
      <c r="SD160" s="20"/>
      <c r="SE160" s="20"/>
      <c r="SF160" s="20"/>
      <c r="SG160" s="20"/>
      <c r="SH160" s="20"/>
      <c r="SI160" s="20"/>
      <c r="SJ160" s="20"/>
      <c r="SK160" s="20"/>
      <c r="SL160" s="20"/>
      <c r="SM160" s="20"/>
      <c r="SN160" s="20"/>
      <c r="SO160" s="20"/>
      <c r="SP160" s="20"/>
      <c r="SQ160" s="20"/>
      <c r="SR160" s="20"/>
      <c r="SS160" s="20"/>
      <c r="ST160" s="20"/>
      <c r="SU160" s="20"/>
      <c r="SV160" s="20"/>
      <c r="SW160" s="20"/>
      <c r="SX160" s="20"/>
      <c r="SY160" s="20"/>
      <c r="SZ160" s="20"/>
      <c r="TA160" s="20"/>
      <c r="TB160" s="20"/>
      <c r="TC160" s="20"/>
      <c r="TD160" s="20"/>
      <c r="TE160" s="20"/>
      <c r="TF160" s="20"/>
      <c r="TG160" s="20"/>
      <c r="TH160" s="20"/>
      <c r="TI160" s="20"/>
      <c r="TJ160" s="20"/>
      <c r="TK160" s="20"/>
      <c r="TL160" s="20"/>
      <c r="TM160" s="20"/>
      <c r="TN160" s="20"/>
      <c r="TO160" s="20"/>
      <c r="TP160" s="20"/>
      <c r="TQ160" s="20"/>
      <c r="TR160" s="20"/>
      <c r="TS160" s="20"/>
      <c r="TT160" s="20"/>
      <c r="TU160" s="20"/>
      <c r="TV160" s="20"/>
      <c r="TW160" s="20"/>
      <c r="TX160" s="20"/>
      <c r="TY160" s="20"/>
      <c r="TZ160" s="20"/>
      <c r="UA160" s="20"/>
      <c r="UB160" s="20"/>
      <c r="UC160" s="20"/>
      <c r="UD160" s="20"/>
      <c r="UE160" s="20"/>
      <c r="UF160" s="20"/>
      <c r="UG160" s="20"/>
      <c r="UH160" s="20"/>
      <c r="UI160" s="20"/>
      <c r="UJ160" s="20"/>
      <c r="UK160" s="20"/>
      <c r="UL160" s="20"/>
      <c r="UM160" s="20"/>
      <c r="UN160" s="20"/>
      <c r="UO160" s="20"/>
      <c r="UP160" s="20"/>
      <c r="UQ160" s="20"/>
      <c r="UR160" s="20"/>
      <c r="US160" s="20"/>
      <c r="UT160" s="20"/>
      <c r="UU160" s="20"/>
      <c r="UV160" s="20"/>
      <c r="UW160" s="20"/>
      <c r="UX160" s="20"/>
      <c r="UY160" s="20"/>
      <c r="UZ160" s="20"/>
      <c r="VA160" s="20"/>
      <c r="VB160" s="20"/>
      <c r="VC160" s="20"/>
      <c r="VD160" s="20"/>
      <c r="VE160" s="20"/>
      <c r="VF160" s="20"/>
      <c r="VG160" s="20"/>
      <c r="VH160" s="20"/>
      <c r="VI160" s="20"/>
      <c r="VJ160" s="20"/>
      <c r="VK160" s="20"/>
      <c r="VL160" s="20"/>
      <c r="VM160" s="20"/>
      <c r="VN160" s="20"/>
      <c r="VO160" s="20"/>
      <c r="VP160" s="20"/>
      <c r="VQ160" s="20"/>
      <c r="VR160" s="20"/>
      <c r="VS160" s="20"/>
      <c r="VT160" s="20"/>
      <c r="VU160" s="20"/>
      <c r="VV160" s="20"/>
      <c r="VW160" s="20"/>
      <c r="VX160" s="20"/>
      <c r="VY160" s="20"/>
      <c r="VZ160" s="20"/>
      <c r="WA160" s="20"/>
      <c r="WB160" s="20"/>
      <c r="WC160" s="20"/>
      <c r="WD160" s="20"/>
      <c r="WE160" s="20"/>
      <c r="WF160" s="20"/>
      <c r="WG160" s="20"/>
      <c r="WH160" s="20"/>
      <c r="WI160" s="20"/>
      <c r="WJ160" s="20"/>
      <c r="WK160" s="20"/>
      <c r="WL160" s="20"/>
      <c r="WM160" s="20"/>
      <c r="WN160" s="20"/>
      <c r="WO160" s="20"/>
      <c r="WP160" s="20"/>
      <c r="WQ160" s="20"/>
      <c r="WR160" s="20"/>
      <c r="WS160" s="20"/>
      <c r="WT160" s="20"/>
      <c r="WU160" s="20"/>
      <c r="WV160" s="20"/>
      <c r="WW160" s="20"/>
      <c r="WX160" s="20"/>
      <c r="WY160" s="20"/>
      <c r="WZ160" s="20"/>
      <c r="XA160" s="20"/>
      <c r="XB160" s="20"/>
      <c r="XC160" s="20"/>
      <c r="XD160" s="20"/>
      <c r="XE160" s="20"/>
      <c r="XF160" s="20"/>
      <c r="XG160" s="20"/>
      <c r="XH160" s="20"/>
      <c r="XI160" s="20"/>
      <c r="XJ160" s="20"/>
      <c r="XK160" s="20"/>
      <c r="XL160" s="20"/>
      <c r="XM160" s="20"/>
      <c r="XN160" s="20"/>
      <c r="XO160" s="20"/>
      <c r="XP160" s="20"/>
      <c r="XQ160" s="20"/>
      <c r="XR160" s="20"/>
      <c r="XS160" s="20"/>
      <c r="XT160" s="20"/>
      <c r="XU160" s="20"/>
      <c r="XV160" s="20"/>
      <c r="XW160" s="20"/>
      <c r="XX160" s="20"/>
      <c r="XY160" s="20"/>
      <c r="XZ160" s="20"/>
      <c r="YA160" s="20"/>
      <c r="YB160" s="20"/>
      <c r="YC160" s="20"/>
      <c r="YD160" s="20"/>
      <c r="YE160" s="20"/>
      <c r="YF160" s="20"/>
      <c r="YG160" s="20"/>
      <c r="YH160" s="20"/>
      <c r="YI160" s="20"/>
      <c r="YJ160" s="20"/>
      <c r="YK160" s="20"/>
      <c r="YL160" s="20"/>
      <c r="YM160" s="20"/>
      <c r="YN160" s="20"/>
      <c r="YO160" s="20"/>
      <c r="YP160" s="20"/>
      <c r="YQ160" s="20"/>
      <c r="YR160" s="20"/>
      <c r="YS160" s="20"/>
      <c r="YT160" s="20"/>
      <c r="YU160" s="20"/>
      <c r="YV160" s="20"/>
      <c r="YW160" s="20"/>
      <c r="YX160" s="20"/>
      <c r="YY160" s="20"/>
      <c r="YZ160" s="20"/>
      <c r="ZA160" s="20"/>
      <c r="ZB160" s="20"/>
      <c r="ZC160" s="20"/>
      <c r="ZD160" s="20"/>
      <c r="ZE160" s="20"/>
      <c r="ZF160" s="20"/>
      <c r="ZG160" s="20"/>
      <c r="ZH160" s="20"/>
      <c r="ZI160" s="20"/>
      <c r="ZJ160" s="20"/>
      <c r="ZK160" s="20"/>
      <c r="ZL160" s="20"/>
      <c r="ZM160" s="20"/>
      <c r="ZN160" s="20"/>
      <c r="ZO160" s="20"/>
      <c r="ZP160" s="20"/>
      <c r="ZQ160" s="20"/>
      <c r="ZR160" s="20"/>
      <c r="ZS160" s="20"/>
      <c r="ZT160" s="20"/>
      <c r="ZU160" s="20"/>
      <c r="ZV160" s="20"/>
      <c r="ZW160" s="20"/>
      <c r="ZX160" s="20"/>
      <c r="ZY160" s="20"/>
      <c r="ZZ160" s="20"/>
      <c r="AAA160" s="20"/>
      <c r="AAB160" s="20"/>
      <c r="AAC160" s="20"/>
      <c r="AAD160" s="20"/>
      <c r="AAE160" s="20"/>
      <c r="AAF160" s="20"/>
      <c r="AAG160" s="20"/>
      <c r="AAH160" s="20"/>
      <c r="AAI160" s="20"/>
      <c r="AAJ160" s="20"/>
      <c r="AAK160" s="20"/>
      <c r="AAL160" s="20"/>
      <c r="AAM160" s="20"/>
      <c r="AAN160" s="20"/>
      <c r="AAO160" s="20"/>
      <c r="AAP160" s="20"/>
      <c r="AAQ160" s="20"/>
      <c r="AAR160" s="20"/>
      <c r="AAS160" s="20"/>
      <c r="AAT160" s="20"/>
      <c r="AAU160" s="20"/>
      <c r="AAV160" s="20"/>
      <c r="AAW160" s="20"/>
      <c r="AAX160" s="20"/>
      <c r="AAY160" s="20"/>
      <c r="AAZ160" s="20"/>
      <c r="ABA160" s="20"/>
      <c r="ABB160" s="20"/>
      <c r="ABC160" s="20"/>
      <c r="ABD160" s="20"/>
      <c r="ABE160" s="20"/>
      <c r="ABF160" s="20"/>
      <c r="ABG160" s="20"/>
      <c r="ABH160" s="20"/>
      <c r="ABI160" s="20"/>
      <c r="ABJ160" s="20"/>
      <c r="ABK160" s="20"/>
      <c r="ABL160" s="20"/>
      <c r="ABM160" s="20"/>
      <c r="ABN160" s="20"/>
      <c r="ABO160" s="20"/>
      <c r="ABP160" s="20"/>
      <c r="ABQ160" s="20"/>
      <c r="ABR160" s="20"/>
      <c r="ABS160" s="20"/>
      <c r="ABT160" s="20"/>
      <c r="ABU160" s="20"/>
      <c r="ABV160" s="20"/>
      <c r="ABW160" s="20"/>
      <c r="ABX160" s="20"/>
      <c r="ABY160" s="20"/>
      <c r="ABZ160" s="20"/>
      <c r="ACA160" s="20"/>
      <c r="ACB160" s="20"/>
      <c r="ACC160" s="20"/>
      <c r="ACD160" s="20"/>
      <c r="ACE160" s="20"/>
      <c r="ACF160" s="20"/>
      <c r="ACG160" s="20"/>
      <c r="ACH160" s="20"/>
      <c r="ACI160" s="20"/>
      <c r="ACJ160" s="20"/>
      <c r="ACK160" s="20"/>
      <c r="ACL160" s="20"/>
      <c r="ACM160" s="20"/>
      <c r="ACN160" s="20"/>
      <c r="ACO160" s="20"/>
      <c r="ACP160" s="20"/>
      <c r="ACQ160" s="20"/>
    </row>
    <row r="161" spans="1:771" s="62" customFormat="1" ht="99" customHeight="1">
      <c r="A161" s="20"/>
      <c r="B161" s="61" t="s">
        <v>711</v>
      </c>
      <c r="D161" s="61" t="s">
        <v>184</v>
      </c>
      <c r="F161" s="63" t="s">
        <v>184</v>
      </c>
      <c r="H161" s="61" t="s">
        <v>124</v>
      </c>
      <c r="J161" s="61" t="s">
        <v>712</v>
      </c>
      <c r="L161" s="61" t="s">
        <v>74</v>
      </c>
      <c r="N161" s="61" t="s">
        <v>178</v>
      </c>
      <c r="P161" s="61" t="s">
        <v>713</v>
      </c>
      <c r="R161" s="64" t="s">
        <v>714</v>
      </c>
      <c r="T161" s="65" t="s">
        <v>715</v>
      </c>
      <c r="U161" s="66"/>
      <c r="V161" s="67" t="s">
        <v>79</v>
      </c>
      <c r="W161" s="68"/>
      <c r="X161" s="67" t="s">
        <v>80</v>
      </c>
      <c r="Y161" s="68"/>
      <c r="Z161" s="67" t="s">
        <v>79</v>
      </c>
      <c r="AA161" s="68"/>
      <c r="AB161" s="90" t="s">
        <v>716</v>
      </c>
      <c r="AC161" s="69"/>
      <c r="AD161" s="63" t="s">
        <v>717</v>
      </c>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c r="IN161" s="20"/>
      <c r="IO161" s="20"/>
      <c r="IP161" s="20"/>
      <c r="IQ161" s="20"/>
      <c r="IR161" s="20"/>
      <c r="IS161" s="20"/>
      <c r="IT161" s="20"/>
      <c r="IU161" s="20"/>
      <c r="IV161" s="20"/>
      <c r="IW161" s="20"/>
      <c r="IX161" s="20"/>
      <c r="IY161" s="20"/>
      <c r="IZ161" s="20"/>
      <c r="JA161" s="20"/>
      <c r="JB161" s="20"/>
      <c r="JC161" s="20"/>
      <c r="JD161" s="20"/>
      <c r="JE161" s="20"/>
      <c r="JF161" s="20"/>
      <c r="JG161" s="20"/>
      <c r="JH161" s="20"/>
      <c r="JI161" s="20"/>
      <c r="JJ161" s="20"/>
      <c r="JK161" s="20"/>
      <c r="JL161" s="20"/>
      <c r="JM161" s="20"/>
      <c r="JN161" s="20"/>
      <c r="JO161" s="20"/>
      <c r="JP161" s="20"/>
      <c r="JQ161" s="20"/>
      <c r="JR161" s="20"/>
      <c r="JS161" s="20"/>
      <c r="JT161" s="20"/>
      <c r="JU161" s="20"/>
      <c r="JV161" s="20"/>
      <c r="JW161" s="20"/>
      <c r="JX161" s="20"/>
      <c r="JY161" s="20"/>
      <c r="JZ161" s="20"/>
      <c r="KA161" s="20"/>
      <c r="KB161" s="20"/>
      <c r="KC161" s="20"/>
      <c r="KD161" s="20"/>
      <c r="KE161" s="20"/>
      <c r="KF161" s="20"/>
      <c r="KG161" s="20"/>
      <c r="KH161" s="20"/>
      <c r="KI161" s="20"/>
      <c r="KJ161" s="20"/>
      <c r="KK161" s="20"/>
      <c r="KL161" s="20"/>
      <c r="KM161" s="20"/>
      <c r="KN161" s="20"/>
      <c r="KO161" s="20"/>
      <c r="KP161" s="20"/>
      <c r="KQ161" s="20"/>
      <c r="KR161" s="20"/>
      <c r="KS161" s="20"/>
      <c r="KT161" s="20"/>
      <c r="KU161" s="20"/>
      <c r="KV161" s="20"/>
      <c r="KW161" s="20"/>
      <c r="KX161" s="20"/>
      <c r="KY161" s="20"/>
      <c r="KZ161" s="20"/>
      <c r="LA161" s="20"/>
      <c r="LB161" s="20"/>
      <c r="LC161" s="20"/>
      <c r="LD161" s="20"/>
      <c r="LE161" s="20"/>
      <c r="LF161" s="20"/>
      <c r="LG161" s="20"/>
      <c r="LH161" s="20"/>
      <c r="LI161" s="20"/>
      <c r="LJ161" s="20"/>
      <c r="LK161" s="20"/>
      <c r="LL161" s="20"/>
      <c r="LM161" s="20"/>
      <c r="LN161" s="20"/>
      <c r="LO161" s="20"/>
      <c r="LP161" s="20"/>
      <c r="LQ161" s="20"/>
      <c r="LR161" s="20"/>
      <c r="LS161" s="20"/>
      <c r="LT161" s="20"/>
      <c r="LU161" s="20"/>
      <c r="LV161" s="20"/>
      <c r="LW161" s="20"/>
      <c r="LX161" s="20"/>
      <c r="LY161" s="20"/>
      <c r="LZ161" s="20"/>
      <c r="MA161" s="20"/>
      <c r="MB161" s="20"/>
      <c r="MC161" s="20"/>
      <c r="MD161" s="20"/>
      <c r="ME161" s="20"/>
      <c r="MF161" s="20"/>
      <c r="MG161" s="20"/>
      <c r="MH161" s="20"/>
      <c r="MI161" s="20"/>
      <c r="MJ161" s="20"/>
      <c r="MK161" s="20"/>
      <c r="ML161" s="20"/>
      <c r="MM161" s="20"/>
      <c r="MN161" s="20"/>
      <c r="MO161" s="20"/>
      <c r="MP161" s="20"/>
      <c r="MQ161" s="20"/>
      <c r="MR161" s="20"/>
      <c r="MS161" s="20"/>
      <c r="MT161" s="20"/>
      <c r="MU161" s="20"/>
      <c r="MV161" s="20"/>
      <c r="MW161" s="20"/>
      <c r="MX161" s="20"/>
      <c r="MY161" s="20"/>
      <c r="MZ161" s="20"/>
      <c r="NA161" s="20"/>
      <c r="NB161" s="20"/>
      <c r="NC161" s="20"/>
      <c r="ND161" s="20"/>
      <c r="NE161" s="20"/>
      <c r="NF161" s="20"/>
      <c r="NG161" s="20"/>
      <c r="NH161" s="20"/>
      <c r="NI161" s="20"/>
      <c r="NJ161" s="20"/>
      <c r="NK161" s="20"/>
      <c r="NL161" s="20"/>
      <c r="NM161" s="20"/>
      <c r="NN161" s="20"/>
      <c r="NO161" s="20"/>
      <c r="NP161" s="20"/>
      <c r="NQ161" s="20"/>
      <c r="NR161" s="20"/>
      <c r="NS161" s="20"/>
      <c r="NT161" s="20"/>
      <c r="NU161" s="20"/>
      <c r="NV161" s="20"/>
      <c r="NW161" s="20"/>
      <c r="NX161" s="20"/>
      <c r="NY161" s="20"/>
      <c r="NZ161" s="20"/>
      <c r="OA161" s="20"/>
      <c r="OB161" s="20"/>
      <c r="OC161" s="20"/>
      <c r="OD161" s="20"/>
      <c r="OE161" s="20"/>
      <c r="OF161" s="20"/>
      <c r="OG161" s="20"/>
      <c r="OH161" s="20"/>
      <c r="OI161" s="20"/>
      <c r="OJ161" s="20"/>
      <c r="OK161" s="20"/>
      <c r="OL161" s="20"/>
      <c r="OM161" s="20"/>
      <c r="ON161" s="20"/>
      <c r="OO161" s="20"/>
      <c r="OP161" s="20"/>
      <c r="OQ161" s="20"/>
      <c r="OR161" s="20"/>
      <c r="OS161" s="20"/>
      <c r="OT161" s="20"/>
      <c r="OU161" s="20"/>
      <c r="OV161" s="20"/>
      <c r="OW161" s="20"/>
      <c r="OX161" s="20"/>
      <c r="OY161" s="20"/>
      <c r="OZ161" s="20"/>
      <c r="PA161" s="20"/>
      <c r="PB161" s="20"/>
      <c r="PC161" s="20"/>
      <c r="PD161" s="20"/>
      <c r="PE161" s="20"/>
      <c r="PF161" s="20"/>
      <c r="PG161" s="20"/>
      <c r="PH161" s="20"/>
      <c r="PI161" s="20"/>
      <c r="PJ161" s="20"/>
      <c r="PK161" s="20"/>
      <c r="PL161" s="20"/>
      <c r="PM161" s="20"/>
      <c r="PN161" s="20"/>
      <c r="PO161" s="20"/>
      <c r="PP161" s="20"/>
      <c r="PQ161" s="20"/>
      <c r="PR161" s="20"/>
      <c r="PS161" s="20"/>
      <c r="PT161" s="20"/>
      <c r="PU161" s="20"/>
      <c r="PV161" s="20"/>
      <c r="PW161" s="20"/>
      <c r="PX161" s="20"/>
      <c r="PY161" s="20"/>
      <c r="PZ161" s="20"/>
      <c r="QA161" s="20"/>
      <c r="QB161" s="20"/>
      <c r="QC161" s="20"/>
      <c r="QD161" s="20"/>
      <c r="QE161" s="20"/>
      <c r="QF161" s="20"/>
      <c r="QG161" s="20"/>
      <c r="QH161" s="20"/>
      <c r="QI161" s="20"/>
      <c r="QJ161" s="20"/>
      <c r="QK161" s="20"/>
      <c r="QL161" s="20"/>
      <c r="QM161" s="20"/>
      <c r="QN161" s="20"/>
      <c r="QO161" s="20"/>
      <c r="QP161" s="20"/>
      <c r="QQ161" s="20"/>
      <c r="QR161" s="20"/>
      <c r="QS161" s="20"/>
      <c r="QT161" s="20"/>
      <c r="QU161" s="20"/>
      <c r="QV161" s="20"/>
      <c r="QW161" s="20"/>
      <c r="QX161" s="20"/>
      <c r="QY161" s="20"/>
      <c r="QZ161" s="20"/>
      <c r="RA161" s="20"/>
      <c r="RB161" s="20"/>
      <c r="RC161" s="20"/>
      <c r="RD161" s="20"/>
      <c r="RE161" s="20"/>
      <c r="RF161" s="20"/>
      <c r="RG161" s="20"/>
      <c r="RH161" s="20"/>
      <c r="RI161" s="20"/>
      <c r="RJ161" s="20"/>
      <c r="RK161" s="20"/>
      <c r="RL161" s="20"/>
      <c r="RM161" s="20"/>
      <c r="RN161" s="20"/>
      <c r="RO161" s="20"/>
      <c r="RP161" s="20"/>
      <c r="RQ161" s="20"/>
      <c r="RR161" s="20"/>
      <c r="RS161" s="20"/>
      <c r="RT161" s="20"/>
      <c r="RU161" s="20"/>
      <c r="RV161" s="20"/>
      <c r="RW161" s="20"/>
      <c r="RX161" s="20"/>
      <c r="RY161" s="20"/>
      <c r="RZ161" s="20"/>
      <c r="SA161" s="20"/>
      <c r="SB161" s="20"/>
      <c r="SC161" s="20"/>
      <c r="SD161" s="20"/>
      <c r="SE161" s="20"/>
      <c r="SF161" s="20"/>
      <c r="SG161" s="20"/>
      <c r="SH161" s="20"/>
      <c r="SI161" s="20"/>
      <c r="SJ161" s="20"/>
      <c r="SK161" s="20"/>
      <c r="SL161" s="20"/>
      <c r="SM161" s="20"/>
      <c r="SN161" s="20"/>
      <c r="SO161" s="20"/>
      <c r="SP161" s="20"/>
      <c r="SQ161" s="20"/>
      <c r="SR161" s="20"/>
      <c r="SS161" s="20"/>
      <c r="ST161" s="20"/>
      <c r="SU161" s="20"/>
      <c r="SV161" s="20"/>
      <c r="SW161" s="20"/>
      <c r="SX161" s="20"/>
      <c r="SY161" s="20"/>
      <c r="SZ161" s="20"/>
      <c r="TA161" s="20"/>
      <c r="TB161" s="20"/>
      <c r="TC161" s="20"/>
      <c r="TD161" s="20"/>
      <c r="TE161" s="20"/>
      <c r="TF161" s="20"/>
      <c r="TG161" s="20"/>
      <c r="TH161" s="20"/>
      <c r="TI161" s="20"/>
      <c r="TJ161" s="20"/>
      <c r="TK161" s="20"/>
      <c r="TL161" s="20"/>
      <c r="TM161" s="20"/>
      <c r="TN161" s="20"/>
      <c r="TO161" s="20"/>
      <c r="TP161" s="20"/>
      <c r="TQ161" s="20"/>
      <c r="TR161" s="20"/>
      <c r="TS161" s="20"/>
      <c r="TT161" s="20"/>
      <c r="TU161" s="20"/>
      <c r="TV161" s="20"/>
      <c r="TW161" s="20"/>
      <c r="TX161" s="20"/>
      <c r="TY161" s="20"/>
      <c r="TZ161" s="20"/>
      <c r="UA161" s="20"/>
      <c r="UB161" s="20"/>
      <c r="UC161" s="20"/>
      <c r="UD161" s="20"/>
      <c r="UE161" s="20"/>
      <c r="UF161" s="20"/>
      <c r="UG161" s="20"/>
      <c r="UH161" s="20"/>
      <c r="UI161" s="20"/>
      <c r="UJ161" s="20"/>
      <c r="UK161" s="20"/>
      <c r="UL161" s="20"/>
      <c r="UM161" s="20"/>
      <c r="UN161" s="20"/>
      <c r="UO161" s="20"/>
      <c r="UP161" s="20"/>
      <c r="UQ161" s="20"/>
      <c r="UR161" s="20"/>
      <c r="US161" s="20"/>
      <c r="UT161" s="20"/>
      <c r="UU161" s="20"/>
      <c r="UV161" s="20"/>
      <c r="UW161" s="20"/>
      <c r="UX161" s="20"/>
      <c r="UY161" s="20"/>
      <c r="UZ161" s="20"/>
      <c r="VA161" s="20"/>
      <c r="VB161" s="20"/>
      <c r="VC161" s="20"/>
      <c r="VD161" s="20"/>
      <c r="VE161" s="20"/>
      <c r="VF161" s="20"/>
      <c r="VG161" s="20"/>
      <c r="VH161" s="20"/>
      <c r="VI161" s="20"/>
      <c r="VJ161" s="20"/>
      <c r="VK161" s="20"/>
      <c r="VL161" s="20"/>
      <c r="VM161" s="20"/>
      <c r="VN161" s="20"/>
      <c r="VO161" s="20"/>
      <c r="VP161" s="20"/>
      <c r="VQ161" s="20"/>
      <c r="VR161" s="20"/>
      <c r="VS161" s="20"/>
      <c r="VT161" s="20"/>
      <c r="VU161" s="20"/>
      <c r="VV161" s="20"/>
      <c r="VW161" s="20"/>
      <c r="VX161" s="20"/>
      <c r="VY161" s="20"/>
      <c r="VZ161" s="20"/>
      <c r="WA161" s="20"/>
      <c r="WB161" s="20"/>
      <c r="WC161" s="20"/>
      <c r="WD161" s="20"/>
      <c r="WE161" s="20"/>
      <c r="WF161" s="20"/>
      <c r="WG161" s="20"/>
      <c r="WH161" s="20"/>
      <c r="WI161" s="20"/>
      <c r="WJ161" s="20"/>
      <c r="WK161" s="20"/>
      <c r="WL161" s="20"/>
      <c r="WM161" s="20"/>
      <c r="WN161" s="20"/>
      <c r="WO161" s="20"/>
      <c r="WP161" s="20"/>
      <c r="WQ161" s="20"/>
      <c r="WR161" s="20"/>
      <c r="WS161" s="20"/>
      <c r="WT161" s="20"/>
      <c r="WU161" s="20"/>
      <c r="WV161" s="20"/>
      <c r="WW161" s="20"/>
      <c r="WX161" s="20"/>
      <c r="WY161" s="20"/>
      <c r="WZ161" s="20"/>
      <c r="XA161" s="20"/>
      <c r="XB161" s="20"/>
      <c r="XC161" s="20"/>
      <c r="XD161" s="20"/>
      <c r="XE161" s="20"/>
      <c r="XF161" s="20"/>
      <c r="XG161" s="20"/>
      <c r="XH161" s="20"/>
      <c r="XI161" s="20"/>
      <c r="XJ161" s="20"/>
      <c r="XK161" s="20"/>
      <c r="XL161" s="20"/>
      <c r="XM161" s="20"/>
      <c r="XN161" s="20"/>
      <c r="XO161" s="20"/>
      <c r="XP161" s="20"/>
      <c r="XQ161" s="20"/>
      <c r="XR161" s="20"/>
      <c r="XS161" s="20"/>
      <c r="XT161" s="20"/>
      <c r="XU161" s="20"/>
      <c r="XV161" s="20"/>
      <c r="XW161" s="20"/>
      <c r="XX161" s="20"/>
      <c r="XY161" s="20"/>
      <c r="XZ161" s="20"/>
      <c r="YA161" s="20"/>
      <c r="YB161" s="20"/>
      <c r="YC161" s="20"/>
      <c r="YD161" s="20"/>
      <c r="YE161" s="20"/>
      <c r="YF161" s="20"/>
      <c r="YG161" s="20"/>
      <c r="YH161" s="20"/>
      <c r="YI161" s="20"/>
      <c r="YJ161" s="20"/>
      <c r="YK161" s="20"/>
      <c r="YL161" s="20"/>
      <c r="YM161" s="20"/>
      <c r="YN161" s="20"/>
      <c r="YO161" s="20"/>
      <c r="YP161" s="20"/>
      <c r="YQ161" s="20"/>
      <c r="YR161" s="20"/>
      <c r="YS161" s="20"/>
      <c r="YT161" s="20"/>
      <c r="YU161" s="20"/>
      <c r="YV161" s="20"/>
      <c r="YW161" s="20"/>
      <c r="YX161" s="20"/>
      <c r="YY161" s="20"/>
      <c r="YZ161" s="20"/>
      <c r="ZA161" s="20"/>
      <c r="ZB161" s="20"/>
      <c r="ZC161" s="20"/>
      <c r="ZD161" s="20"/>
      <c r="ZE161" s="20"/>
      <c r="ZF161" s="20"/>
      <c r="ZG161" s="20"/>
      <c r="ZH161" s="20"/>
      <c r="ZI161" s="20"/>
      <c r="ZJ161" s="20"/>
      <c r="ZK161" s="20"/>
      <c r="ZL161" s="20"/>
      <c r="ZM161" s="20"/>
      <c r="ZN161" s="20"/>
      <c r="ZO161" s="20"/>
      <c r="ZP161" s="20"/>
      <c r="ZQ161" s="20"/>
      <c r="ZR161" s="20"/>
      <c r="ZS161" s="20"/>
      <c r="ZT161" s="20"/>
      <c r="ZU161" s="20"/>
      <c r="ZV161" s="20"/>
      <c r="ZW161" s="20"/>
      <c r="ZX161" s="20"/>
      <c r="ZY161" s="20"/>
      <c r="ZZ161" s="20"/>
      <c r="AAA161" s="20"/>
      <c r="AAB161" s="20"/>
      <c r="AAC161" s="20"/>
      <c r="AAD161" s="20"/>
      <c r="AAE161" s="20"/>
      <c r="AAF161" s="20"/>
      <c r="AAG161" s="20"/>
      <c r="AAH161" s="20"/>
      <c r="AAI161" s="20"/>
      <c r="AAJ161" s="20"/>
      <c r="AAK161" s="20"/>
      <c r="AAL161" s="20"/>
      <c r="AAM161" s="20"/>
      <c r="AAN161" s="20"/>
      <c r="AAO161" s="20"/>
      <c r="AAP161" s="20"/>
      <c r="AAQ161" s="20"/>
      <c r="AAR161" s="20"/>
      <c r="AAS161" s="20"/>
      <c r="AAT161" s="20"/>
      <c r="AAU161" s="20"/>
      <c r="AAV161" s="20"/>
      <c r="AAW161" s="20"/>
      <c r="AAX161" s="20"/>
      <c r="AAY161" s="20"/>
      <c r="AAZ161" s="20"/>
      <c r="ABA161" s="20"/>
      <c r="ABB161" s="20"/>
      <c r="ABC161" s="20"/>
      <c r="ABD161" s="20"/>
      <c r="ABE161" s="20"/>
      <c r="ABF161" s="20"/>
      <c r="ABG161" s="20"/>
      <c r="ABH161" s="20"/>
      <c r="ABI161" s="20"/>
      <c r="ABJ161" s="20"/>
      <c r="ABK161" s="20"/>
      <c r="ABL161" s="20"/>
      <c r="ABM161" s="20"/>
      <c r="ABN161" s="20"/>
      <c r="ABO161" s="20"/>
      <c r="ABP161" s="20"/>
      <c r="ABQ161" s="20"/>
      <c r="ABR161" s="20"/>
      <c r="ABS161" s="20"/>
      <c r="ABT161" s="20"/>
      <c r="ABU161" s="20"/>
      <c r="ABV161" s="20"/>
      <c r="ABW161" s="20"/>
      <c r="ABX161" s="20"/>
      <c r="ABY161" s="20"/>
      <c r="ABZ161" s="20"/>
      <c r="ACA161" s="20"/>
      <c r="ACB161" s="20"/>
      <c r="ACC161" s="20"/>
      <c r="ACD161" s="20"/>
      <c r="ACE161" s="20"/>
      <c r="ACF161" s="20"/>
      <c r="ACG161" s="20"/>
      <c r="ACH161" s="20"/>
      <c r="ACI161" s="20"/>
      <c r="ACJ161" s="20"/>
      <c r="ACK161" s="20"/>
      <c r="ACL161" s="20"/>
      <c r="ACM161" s="20"/>
      <c r="ACN161" s="20"/>
      <c r="ACO161" s="20"/>
      <c r="ACP161" s="20"/>
      <c r="ACQ161" s="20"/>
    </row>
    <row r="162" spans="1:771" ht="170.1">
      <c r="B162" s="61" t="s">
        <v>718</v>
      </c>
      <c r="C162" s="62"/>
      <c r="D162" s="61" t="s">
        <v>719</v>
      </c>
      <c r="E162" s="62"/>
      <c r="F162" s="63" t="s">
        <v>254</v>
      </c>
      <c r="G162" s="62"/>
      <c r="H162" s="61" t="s">
        <v>72</v>
      </c>
      <c r="I162" s="62"/>
      <c r="J162" s="61" t="s">
        <v>587</v>
      </c>
      <c r="K162" s="62"/>
      <c r="L162" s="61" t="s">
        <v>74</v>
      </c>
      <c r="M162" s="62"/>
      <c r="N162" s="61" t="s">
        <v>103</v>
      </c>
      <c r="O162" s="62"/>
      <c r="P162" s="61" t="s">
        <v>720</v>
      </c>
      <c r="Q162" s="62"/>
      <c r="R162" s="61" t="s">
        <v>77</v>
      </c>
      <c r="S162" s="62"/>
      <c r="T162" s="65" t="s">
        <v>721</v>
      </c>
      <c r="U162" s="66"/>
      <c r="V162" s="67" t="s">
        <v>79</v>
      </c>
      <c r="W162" s="66"/>
      <c r="X162" s="67" t="s">
        <v>80</v>
      </c>
      <c r="Y162" s="69"/>
      <c r="Z162" s="67" t="s">
        <v>80</v>
      </c>
      <c r="AA162" s="66"/>
      <c r="AB162" s="63" t="s">
        <v>294</v>
      </c>
      <c r="AC162" s="66"/>
      <c r="AD162" s="63" t="s">
        <v>722</v>
      </c>
    </row>
    <row r="163" spans="1:771" ht="68.099999999999994">
      <c r="B163" s="61" t="s">
        <v>723</v>
      </c>
      <c r="C163" s="62"/>
      <c r="D163" s="61" t="s">
        <v>394</v>
      </c>
      <c r="E163" s="62"/>
      <c r="F163" s="63" t="s">
        <v>394</v>
      </c>
      <c r="G163" s="62"/>
      <c r="H163" s="61" t="s">
        <v>724</v>
      </c>
      <c r="I163" s="62"/>
      <c r="J163" s="61" t="s">
        <v>587</v>
      </c>
      <c r="K163" s="62"/>
      <c r="L163" s="61" t="s">
        <v>74</v>
      </c>
      <c r="M163" s="62"/>
      <c r="N163" s="61" t="s">
        <v>725</v>
      </c>
      <c r="O163" s="62"/>
      <c r="P163" s="61" t="s">
        <v>726</v>
      </c>
      <c r="Q163" s="62"/>
      <c r="R163" s="61" t="s">
        <v>77</v>
      </c>
      <c r="S163" s="62"/>
      <c r="T163" s="75" t="s">
        <v>727</v>
      </c>
      <c r="U163" s="66"/>
      <c r="V163" s="67" t="s">
        <v>79</v>
      </c>
      <c r="W163" s="66"/>
      <c r="X163" s="67" t="s">
        <v>80</v>
      </c>
      <c r="Y163" s="69"/>
      <c r="Z163" s="67" t="s">
        <v>80</v>
      </c>
      <c r="AA163" s="66"/>
      <c r="AB163" s="63" t="s">
        <v>728</v>
      </c>
      <c r="AC163" s="66"/>
      <c r="AD163" s="63" t="s">
        <v>729</v>
      </c>
    </row>
    <row r="164" spans="1:771" ht="153">
      <c r="B164" s="61" t="s">
        <v>730</v>
      </c>
      <c r="C164" s="62"/>
      <c r="D164" s="61" t="s">
        <v>379</v>
      </c>
      <c r="E164" s="62"/>
      <c r="F164" s="63" t="s">
        <v>731</v>
      </c>
      <c r="G164" s="62"/>
      <c r="H164" s="61" t="s">
        <v>72</v>
      </c>
      <c r="I164" s="62"/>
      <c r="J164" s="61" t="s">
        <v>587</v>
      </c>
      <c r="K164" s="62"/>
      <c r="L164" s="61" t="s">
        <v>74</v>
      </c>
      <c r="M164" s="62"/>
      <c r="N164" s="61" t="s">
        <v>178</v>
      </c>
      <c r="O164" s="62"/>
      <c r="P164" s="61" t="s">
        <v>732</v>
      </c>
      <c r="Q164" s="62"/>
      <c r="R164" s="61" t="s">
        <v>77</v>
      </c>
      <c r="S164" s="62"/>
      <c r="T164" s="92" t="s">
        <v>733</v>
      </c>
      <c r="U164" s="66"/>
      <c r="V164" s="67" t="s">
        <v>79</v>
      </c>
      <c r="W164" s="66"/>
      <c r="X164" s="67" t="s">
        <v>80</v>
      </c>
      <c r="Y164" s="69"/>
      <c r="Z164" s="67" t="s">
        <v>80</v>
      </c>
      <c r="AA164" s="66"/>
      <c r="AB164" s="63" t="s">
        <v>734</v>
      </c>
      <c r="AC164" s="66"/>
      <c r="AD164" s="63" t="s">
        <v>735</v>
      </c>
    </row>
    <row r="165" spans="1:771" ht="288.95">
      <c r="A165" s="57"/>
      <c r="B165" s="21" t="s">
        <v>736</v>
      </c>
      <c r="C165" s="20"/>
      <c r="D165" s="21" t="s">
        <v>305</v>
      </c>
      <c r="E165" s="20"/>
      <c r="F165" s="23" t="s">
        <v>254</v>
      </c>
      <c r="H165" s="21" t="s">
        <v>298</v>
      </c>
      <c r="J165" s="21" t="s">
        <v>89</v>
      </c>
      <c r="L165" s="21" t="s">
        <v>737</v>
      </c>
      <c r="N165" s="21" t="s">
        <v>178</v>
      </c>
      <c r="P165" s="21" t="s">
        <v>738</v>
      </c>
      <c r="R165" s="64" t="s">
        <v>739</v>
      </c>
      <c r="S165" s="20"/>
      <c r="T165" s="58" t="s">
        <v>740</v>
      </c>
      <c r="V165" s="26" t="s">
        <v>79</v>
      </c>
      <c r="W165" s="60"/>
      <c r="X165" s="26" t="s">
        <v>80</v>
      </c>
      <c r="Y165" s="60"/>
      <c r="Z165" s="26" t="s">
        <v>79</v>
      </c>
      <c r="AA165" s="60"/>
      <c r="AB165" s="26" t="s">
        <v>80</v>
      </c>
      <c r="AD165" s="23" t="s">
        <v>741</v>
      </c>
    </row>
    <row r="166" spans="1:771" ht="102">
      <c r="A166" s="57"/>
      <c r="B166" s="21" t="s">
        <v>742</v>
      </c>
      <c r="C166" s="20"/>
      <c r="D166" s="21" t="s">
        <v>305</v>
      </c>
      <c r="E166" s="20"/>
      <c r="F166" s="23" t="s">
        <v>254</v>
      </c>
      <c r="H166" s="21" t="s">
        <v>298</v>
      </c>
      <c r="J166" s="21" t="s">
        <v>89</v>
      </c>
      <c r="L166" s="21" t="s">
        <v>737</v>
      </c>
      <c r="N166" s="21" t="s">
        <v>178</v>
      </c>
      <c r="P166" s="21" t="s">
        <v>743</v>
      </c>
      <c r="R166" s="64" t="s">
        <v>744</v>
      </c>
      <c r="S166" s="20"/>
      <c r="T166" s="58" t="s">
        <v>745</v>
      </c>
      <c r="V166" s="26" t="s">
        <v>79</v>
      </c>
      <c r="W166" s="60"/>
      <c r="X166" s="26" t="s">
        <v>80</v>
      </c>
      <c r="Y166" s="60"/>
      <c r="Z166" s="26" t="s">
        <v>79</v>
      </c>
      <c r="AA166" s="60"/>
      <c r="AB166" s="26" t="s">
        <v>80</v>
      </c>
      <c r="AD166" s="23" t="s">
        <v>746</v>
      </c>
    </row>
    <row r="167" spans="1:771" ht="356.1" customHeight="1">
      <c r="A167" s="57"/>
      <c r="B167" s="21" t="s">
        <v>747</v>
      </c>
      <c r="C167" s="20"/>
      <c r="D167" s="21" t="s">
        <v>748</v>
      </c>
      <c r="E167" s="20"/>
      <c r="F167" s="23" t="s">
        <v>749</v>
      </c>
      <c r="H167" s="21" t="s">
        <v>298</v>
      </c>
      <c r="J167" s="21" t="s">
        <v>89</v>
      </c>
      <c r="L167" s="21" t="s">
        <v>737</v>
      </c>
      <c r="N167" s="21" t="s">
        <v>178</v>
      </c>
      <c r="P167" s="21" t="s">
        <v>750</v>
      </c>
      <c r="R167" s="64" t="s">
        <v>751</v>
      </c>
      <c r="S167" s="20"/>
      <c r="T167" s="89" t="s">
        <v>752</v>
      </c>
      <c r="V167" s="26" t="s">
        <v>79</v>
      </c>
      <c r="W167" s="28"/>
      <c r="X167" s="26" t="s">
        <v>80</v>
      </c>
      <c r="Z167" s="26" t="s">
        <v>79</v>
      </c>
      <c r="AA167" s="28"/>
      <c r="AB167" s="23" t="s">
        <v>753</v>
      </c>
      <c r="AC167" s="20"/>
      <c r="AD167" s="23" t="s">
        <v>754</v>
      </c>
    </row>
    <row r="168" spans="1:771" ht="339.95">
      <c r="A168" s="57"/>
      <c r="B168" s="21" t="s">
        <v>755</v>
      </c>
      <c r="C168" s="20"/>
      <c r="D168" s="21" t="s">
        <v>756</v>
      </c>
      <c r="E168" s="20"/>
      <c r="F168" s="23" t="s">
        <v>254</v>
      </c>
      <c r="H168" s="21" t="s">
        <v>298</v>
      </c>
      <c r="J168" s="21" t="s">
        <v>73</v>
      </c>
      <c r="L168" s="21" t="s">
        <v>737</v>
      </c>
      <c r="N168" s="21" t="s">
        <v>178</v>
      </c>
      <c r="P168" s="21" t="s">
        <v>750</v>
      </c>
      <c r="R168" s="64" t="s">
        <v>757</v>
      </c>
      <c r="S168" s="20"/>
      <c r="T168" s="89" t="s">
        <v>752</v>
      </c>
      <c r="V168" s="26" t="s">
        <v>79</v>
      </c>
      <c r="W168" s="28"/>
      <c r="X168" s="26" t="s">
        <v>80</v>
      </c>
      <c r="Z168" s="26" t="s">
        <v>79</v>
      </c>
      <c r="AA168" s="28"/>
      <c r="AB168" s="23" t="s">
        <v>753</v>
      </c>
      <c r="AC168" s="20"/>
      <c r="AD168" s="23" t="s">
        <v>754</v>
      </c>
    </row>
    <row r="169" spans="1:771" ht="339.95">
      <c r="A169" s="57"/>
      <c r="B169" s="21" t="s">
        <v>758</v>
      </c>
      <c r="C169" s="20"/>
      <c r="D169" s="21" t="s">
        <v>338</v>
      </c>
      <c r="E169" s="20"/>
      <c r="F169" s="23" t="s">
        <v>254</v>
      </c>
      <c r="H169" s="21" t="s">
        <v>298</v>
      </c>
      <c r="J169" s="21" t="s">
        <v>73</v>
      </c>
      <c r="L169" s="21" t="s">
        <v>737</v>
      </c>
      <c r="N169" s="21" t="s">
        <v>178</v>
      </c>
      <c r="P169" s="21" t="s">
        <v>759</v>
      </c>
      <c r="R169" s="64" t="s">
        <v>760</v>
      </c>
      <c r="S169" s="20"/>
      <c r="T169" s="93" t="s">
        <v>752</v>
      </c>
      <c r="U169" s="59"/>
      <c r="V169" s="26" t="s">
        <v>79</v>
      </c>
      <c r="W169" s="60"/>
      <c r="X169" s="26" t="s">
        <v>80</v>
      </c>
      <c r="Y169" s="60"/>
      <c r="Z169" s="26" t="s">
        <v>79</v>
      </c>
      <c r="AA169" s="60"/>
      <c r="AB169" s="23" t="s">
        <v>753</v>
      </c>
      <c r="AD169" s="72" t="s">
        <v>754</v>
      </c>
    </row>
    <row r="170" spans="1:771" ht="339.95">
      <c r="A170" s="57"/>
      <c r="B170" s="21" t="s">
        <v>761</v>
      </c>
      <c r="C170" s="20"/>
      <c r="D170" s="21" t="s">
        <v>343</v>
      </c>
      <c r="E170" s="20"/>
      <c r="F170" s="23" t="s">
        <v>254</v>
      </c>
      <c r="H170" s="21" t="s">
        <v>298</v>
      </c>
      <c r="J170" s="21" t="s">
        <v>73</v>
      </c>
      <c r="L170" s="21" t="s">
        <v>737</v>
      </c>
      <c r="N170" s="21" t="s">
        <v>178</v>
      </c>
      <c r="P170" s="21" t="s">
        <v>307</v>
      </c>
      <c r="R170" s="64" t="s">
        <v>762</v>
      </c>
      <c r="S170" s="20"/>
      <c r="T170" s="58" t="s">
        <v>752</v>
      </c>
      <c r="U170" s="59"/>
      <c r="V170" s="26" t="s">
        <v>79</v>
      </c>
      <c r="W170" s="60"/>
      <c r="X170" s="26" t="s">
        <v>80</v>
      </c>
      <c r="Y170" s="60"/>
      <c r="Z170" s="26" t="s">
        <v>79</v>
      </c>
      <c r="AA170" s="60"/>
      <c r="AB170" s="23" t="s">
        <v>753</v>
      </c>
      <c r="AD170" s="72" t="s">
        <v>754</v>
      </c>
    </row>
    <row r="171" spans="1:771" ht="356.1">
      <c r="A171" s="57"/>
      <c r="B171" s="21" t="s">
        <v>763</v>
      </c>
      <c r="C171" s="20"/>
      <c r="D171" s="21" t="s">
        <v>346</v>
      </c>
      <c r="E171" s="20"/>
      <c r="F171" s="23" t="s">
        <v>254</v>
      </c>
      <c r="H171" s="21" t="s">
        <v>298</v>
      </c>
      <c r="J171" s="21" t="s">
        <v>73</v>
      </c>
      <c r="L171" s="21" t="s">
        <v>737</v>
      </c>
      <c r="N171" s="21" t="s">
        <v>178</v>
      </c>
      <c r="P171" s="21" t="s">
        <v>764</v>
      </c>
      <c r="R171" s="64" t="s">
        <v>765</v>
      </c>
      <c r="S171" s="20"/>
      <c r="T171" s="58" t="s">
        <v>766</v>
      </c>
      <c r="U171" s="59"/>
      <c r="V171" s="26" t="s">
        <v>79</v>
      </c>
      <c r="W171" s="60"/>
      <c r="X171" s="26" t="s">
        <v>80</v>
      </c>
      <c r="Y171" s="60"/>
      <c r="Z171" s="26" t="s">
        <v>79</v>
      </c>
      <c r="AA171" s="60"/>
      <c r="AB171" s="23" t="s">
        <v>753</v>
      </c>
      <c r="AD171" s="72" t="s">
        <v>767</v>
      </c>
    </row>
    <row r="172" spans="1:771" ht="387.95">
      <c r="A172" s="57"/>
      <c r="B172" s="21" t="s">
        <v>768</v>
      </c>
      <c r="C172" s="20"/>
      <c r="D172" s="21" t="s">
        <v>349</v>
      </c>
      <c r="E172" s="20"/>
      <c r="F172" s="23" t="s">
        <v>254</v>
      </c>
      <c r="H172" s="21" t="s">
        <v>298</v>
      </c>
      <c r="J172" s="21" t="s">
        <v>73</v>
      </c>
      <c r="L172" s="21" t="s">
        <v>737</v>
      </c>
      <c r="N172" s="21" t="s">
        <v>178</v>
      </c>
      <c r="P172" s="21" t="s">
        <v>769</v>
      </c>
      <c r="R172" s="64" t="s">
        <v>770</v>
      </c>
      <c r="S172" s="20"/>
      <c r="T172" s="58" t="s">
        <v>771</v>
      </c>
      <c r="U172" s="59"/>
      <c r="V172" s="26" t="s">
        <v>79</v>
      </c>
      <c r="W172" s="60"/>
      <c r="X172" s="26" t="s">
        <v>80</v>
      </c>
      <c r="Y172" s="60"/>
      <c r="Z172" s="26" t="s">
        <v>79</v>
      </c>
      <c r="AA172" s="60"/>
      <c r="AB172" s="23" t="s">
        <v>753</v>
      </c>
      <c r="AD172" s="72" t="s">
        <v>772</v>
      </c>
    </row>
    <row r="173" spans="1:771" ht="404.1">
      <c r="A173" s="57"/>
      <c r="B173" s="21" t="s">
        <v>773</v>
      </c>
      <c r="C173" s="20"/>
      <c r="D173" s="21" t="s">
        <v>352</v>
      </c>
      <c r="E173" s="20"/>
      <c r="F173" s="23" t="s">
        <v>254</v>
      </c>
      <c r="H173" s="21" t="s">
        <v>298</v>
      </c>
      <c r="J173" s="21" t="s">
        <v>73</v>
      </c>
      <c r="L173" s="21" t="s">
        <v>737</v>
      </c>
      <c r="N173" s="21" t="s">
        <v>178</v>
      </c>
      <c r="P173" s="21" t="s">
        <v>774</v>
      </c>
      <c r="R173" s="64" t="s">
        <v>775</v>
      </c>
      <c r="S173" s="20"/>
      <c r="T173" s="58" t="s">
        <v>776</v>
      </c>
      <c r="U173" s="59"/>
      <c r="V173" s="26" t="s">
        <v>79</v>
      </c>
      <c r="W173" s="60"/>
      <c r="X173" s="26" t="s">
        <v>80</v>
      </c>
      <c r="Y173" s="60"/>
      <c r="Z173" s="26" t="s">
        <v>79</v>
      </c>
      <c r="AA173" s="60"/>
      <c r="AB173" s="23" t="s">
        <v>753</v>
      </c>
      <c r="AD173" s="72" t="s">
        <v>777</v>
      </c>
    </row>
    <row r="174" spans="1:771" ht="170.1">
      <c r="B174" s="21" t="s">
        <v>778</v>
      </c>
      <c r="C174" s="20"/>
      <c r="D174" s="21" t="s">
        <v>779</v>
      </c>
      <c r="E174" s="20"/>
      <c r="F174" s="23" t="s">
        <v>254</v>
      </c>
      <c r="H174" s="21" t="s">
        <v>780</v>
      </c>
      <c r="J174" s="21" t="s">
        <v>89</v>
      </c>
      <c r="K174" s="21"/>
      <c r="L174" s="21" t="s">
        <v>737</v>
      </c>
      <c r="N174" s="21" t="s">
        <v>781</v>
      </c>
      <c r="P174" s="21" t="s">
        <v>782</v>
      </c>
      <c r="R174" s="64" t="s">
        <v>783</v>
      </c>
      <c r="S174" s="20"/>
      <c r="T174" s="76" t="s">
        <v>784</v>
      </c>
      <c r="U174" s="77"/>
      <c r="V174" s="26" t="s">
        <v>79</v>
      </c>
      <c r="W174" s="25"/>
      <c r="X174" s="26" t="s">
        <v>80</v>
      </c>
      <c r="Y174" s="85"/>
      <c r="Z174" s="26" t="s">
        <v>79</v>
      </c>
      <c r="AA174" s="25"/>
      <c r="AB174" s="26" t="s">
        <v>80</v>
      </c>
      <c r="AD174" s="23" t="s">
        <v>785</v>
      </c>
    </row>
    <row r="175" spans="1:771" ht="170.1">
      <c r="B175" s="21" t="s">
        <v>786</v>
      </c>
      <c r="C175" s="20"/>
      <c r="D175" s="21" t="s">
        <v>787</v>
      </c>
      <c r="E175" s="20"/>
      <c r="F175" s="23" t="s">
        <v>254</v>
      </c>
      <c r="H175" s="21" t="s">
        <v>780</v>
      </c>
      <c r="J175" s="21" t="s">
        <v>89</v>
      </c>
      <c r="L175" s="21" t="s">
        <v>737</v>
      </c>
      <c r="N175" s="21" t="s">
        <v>781</v>
      </c>
      <c r="P175" s="21" t="s">
        <v>788</v>
      </c>
      <c r="R175" s="64" t="s">
        <v>783</v>
      </c>
      <c r="S175" s="20"/>
      <c r="T175" s="76" t="s">
        <v>789</v>
      </c>
      <c r="U175" s="77"/>
      <c r="V175" s="26" t="s">
        <v>79</v>
      </c>
      <c r="W175" s="25"/>
      <c r="X175" s="26" t="s">
        <v>80</v>
      </c>
      <c r="Y175" s="85"/>
      <c r="Z175" s="26" t="s">
        <v>79</v>
      </c>
      <c r="AA175" s="25"/>
      <c r="AB175" s="26" t="s">
        <v>80</v>
      </c>
      <c r="AD175" s="23" t="s">
        <v>785</v>
      </c>
    </row>
    <row r="176" spans="1:771" ht="170.1">
      <c r="B176" s="21" t="s">
        <v>790</v>
      </c>
      <c r="C176" s="20"/>
      <c r="D176" s="21" t="s">
        <v>791</v>
      </c>
      <c r="E176" s="20"/>
      <c r="F176" s="23" t="s">
        <v>254</v>
      </c>
      <c r="H176" s="21" t="s">
        <v>780</v>
      </c>
      <c r="J176" s="21" t="s">
        <v>89</v>
      </c>
      <c r="L176" s="21" t="s">
        <v>737</v>
      </c>
      <c r="N176" s="21" t="s">
        <v>781</v>
      </c>
      <c r="P176" s="21" t="s">
        <v>792</v>
      </c>
      <c r="R176" s="64" t="s">
        <v>783</v>
      </c>
      <c r="S176" s="20"/>
      <c r="T176" s="76" t="s">
        <v>793</v>
      </c>
      <c r="U176" s="77"/>
      <c r="V176" s="26" t="s">
        <v>79</v>
      </c>
      <c r="W176" s="25"/>
      <c r="X176" s="26" t="s">
        <v>80</v>
      </c>
      <c r="Y176" s="85"/>
      <c r="Z176" s="26" t="s">
        <v>79</v>
      </c>
      <c r="AA176" s="25"/>
      <c r="AB176" s="26" t="s">
        <v>80</v>
      </c>
      <c r="AD176" s="23" t="s">
        <v>785</v>
      </c>
    </row>
    <row r="177" spans="2:30" ht="170.1">
      <c r="B177" s="21" t="s">
        <v>794</v>
      </c>
      <c r="C177" s="20"/>
      <c r="D177" s="21" t="s">
        <v>795</v>
      </c>
      <c r="E177" s="20"/>
      <c r="F177" s="23" t="s">
        <v>254</v>
      </c>
      <c r="H177" s="21" t="s">
        <v>796</v>
      </c>
      <c r="J177" s="21" t="s">
        <v>89</v>
      </c>
      <c r="L177" s="21" t="s">
        <v>737</v>
      </c>
      <c r="N177" s="21" t="s">
        <v>781</v>
      </c>
      <c r="P177" s="21" t="s">
        <v>797</v>
      </c>
      <c r="R177" s="64" t="s">
        <v>783</v>
      </c>
      <c r="S177" s="20"/>
      <c r="T177" s="76" t="s">
        <v>798</v>
      </c>
      <c r="U177" s="77"/>
      <c r="V177" s="26" t="s">
        <v>79</v>
      </c>
      <c r="W177" s="25"/>
      <c r="X177" s="26" t="s">
        <v>80</v>
      </c>
      <c r="Y177" s="85"/>
      <c r="Z177" s="26" t="s">
        <v>79</v>
      </c>
      <c r="AA177" s="25"/>
      <c r="AB177" s="26" t="s">
        <v>80</v>
      </c>
      <c r="AD177" s="23" t="s">
        <v>785</v>
      </c>
    </row>
    <row r="178" spans="2:30" ht="170.1">
      <c r="B178" s="21" t="s">
        <v>799</v>
      </c>
      <c r="C178" s="20"/>
      <c r="D178" s="21" t="s">
        <v>800</v>
      </c>
      <c r="E178" s="20"/>
      <c r="F178" s="23" t="s">
        <v>254</v>
      </c>
      <c r="H178" s="21" t="s">
        <v>796</v>
      </c>
      <c r="J178" s="21" t="s">
        <v>89</v>
      </c>
      <c r="L178" s="21" t="s">
        <v>737</v>
      </c>
      <c r="N178" s="21" t="s">
        <v>781</v>
      </c>
      <c r="P178" s="21" t="s">
        <v>801</v>
      </c>
      <c r="R178" s="64" t="s">
        <v>783</v>
      </c>
      <c r="S178" s="20"/>
      <c r="T178" s="76" t="s">
        <v>802</v>
      </c>
      <c r="U178" s="77"/>
      <c r="V178" s="26" t="s">
        <v>79</v>
      </c>
      <c r="W178" s="25"/>
      <c r="X178" s="26" t="s">
        <v>80</v>
      </c>
      <c r="Y178" s="85"/>
      <c r="Z178" s="26" t="s">
        <v>79</v>
      </c>
      <c r="AA178" s="25"/>
      <c r="AB178" s="26" t="s">
        <v>80</v>
      </c>
      <c r="AD178" s="23" t="s">
        <v>785</v>
      </c>
    </row>
    <row r="179" spans="2:30" ht="170.1">
      <c r="B179" s="21" t="s">
        <v>803</v>
      </c>
      <c r="C179" s="20"/>
      <c r="D179" s="21" t="s">
        <v>804</v>
      </c>
      <c r="E179" s="20"/>
      <c r="F179" s="23" t="s">
        <v>254</v>
      </c>
      <c r="H179" s="21" t="s">
        <v>796</v>
      </c>
      <c r="J179" s="21" t="s">
        <v>89</v>
      </c>
      <c r="L179" s="21" t="s">
        <v>737</v>
      </c>
      <c r="N179" s="21" t="s">
        <v>781</v>
      </c>
      <c r="P179" s="21" t="s">
        <v>805</v>
      </c>
      <c r="R179" s="64" t="s">
        <v>783</v>
      </c>
      <c r="S179" s="20"/>
      <c r="T179" s="76" t="s">
        <v>806</v>
      </c>
      <c r="U179" s="77"/>
      <c r="V179" s="26" t="s">
        <v>79</v>
      </c>
      <c r="W179" s="25"/>
      <c r="X179" s="26" t="s">
        <v>80</v>
      </c>
      <c r="Y179" s="85"/>
      <c r="Z179" s="26" t="s">
        <v>79</v>
      </c>
      <c r="AA179" s="25"/>
      <c r="AB179" s="26" t="s">
        <v>80</v>
      </c>
      <c r="AD179" s="23" t="s">
        <v>785</v>
      </c>
    </row>
    <row r="180" spans="2:30" ht="170.1">
      <c r="B180" s="21" t="s">
        <v>807</v>
      </c>
      <c r="C180" s="20"/>
      <c r="D180" s="21" t="s">
        <v>808</v>
      </c>
      <c r="E180" s="20"/>
      <c r="F180" s="23" t="s">
        <v>254</v>
      </c>
      <c r="H180" s="21" t="s">
        <v>796</v>
      </c>
      <c r="J180" s="21" t="s">
        <v>89</v>
      </c>
      <c r="L180" s="21" t="s">
        <v>737</v>
      </c>
      <c r="N180" s="21" t="s">
        <v>781</v>
      </c>
      <c r="P180" s="21" t="s">
        <v>809</v>
      </c>
      <c r="R180" s="64" t="s">
        <v>783</v>
      </c>
      <c r="S180" s="20"/>
      <c r="T180" s="76" t="s">
        <v>810</v>
      </c>
      <c r="U180" s="77"/>
      <c r="V180" s="26" t="s">
        <v>79</v>
      </c>
      <c r="W180" s="25"/>
      <c r="X180" s="26" t="s">
        <v>80</v>
      </c>
      <c r="Y180" s="85"/>
      <c r="Z180" s="26" t="s">
        <v>79</v>
      </c>
      <c r="AA180" s="25"/>
      <c r="AB180" s="26" t="s">
        <v>80</v>
      </c>
      <c r="AD180" s="23" t="s">
        <v>785</v>
      </c>
    </row>
    <row r="181" spans="2:30" ht="170.1">
      <c r="B181" s="21" t="s">
        <v>811</v>
      </c>
      <c r="C181" s="20"/>
      <c r="D181" s="21" t="s">
        <v>812</v>
      </c>
      <c r="E181" s="20"/>
      <c r="F181" s="23" t="s">
        <v>254</v>
      </c>
      <c r="H181" s="21" t="s">
        <v>796</v>
      </c>
      <c r="J181" s="21" t="s">
        <v>89</v>
      </c>
      <c r="L181" s="21" t="s">
        <v>737</v>
      </c>
      <c r="N181" s="21" t="s">
        <v>781</v>
      </c>
      <c r="P181" s="21" t="s">
        <v>813</v>
      </c>
      <c r="R181" s="64" t="s">
        <v>783</v>
      </c>
      <c r="S181" s="20"/>
      <c r="T181" s="76" t="s">
        <v>814</v>
      </c>
      <c r="U181" s="77"/>
      <c r="V181" s="26" t="s">
        <v>79</v>
      </c>
      <c r="W181" s="25"/>
      <c r="X181" s="26" t="s">
        <v>80</v>
      </c>
      <c r="Y181" s="85"/>
      <c r="Z181" s="26" t="s">
        <v>79</v>
      </c>
      <c r="AA181" s="25"/>
      <c r="AB181" s="26" t="s">
        <v>80</v>
      </c>
      <c r="AD181" s="23" t="s">
        <v>785</v>
      </c>
    </row>
    <row r="182" spans="2:30" ht="170.1">
      <c r="B182" s="21" t="s">
        <v>815</v>
      </c>
      <c r="C182" s="20"/>
      <c r="D182" s="21" t="s">
        <v>816</v>
      </c>
      <c r="E182" s="20"/>
      <c r="F182" s="23" t="s">
        <v>254</v>
      </c>
      <c r="H182" s="21" t="s">
        <v>796</v>
      </c>
      <c r="J182" s="21" t="s">
        <v>89</v>
      </c>
      <c r="L182" s="21" t="s">
        <v>737</v>
      </c>
      <c r="N182" s="21" t="s">
        <v>781</v>
      </c>
      <c r="P182" s="21" t="s">
        <v>817</v>
      </c>
      <c r="R182" s="64" t="s">
        <v>783</v>
      </c>
      <c r="S182" s="20"/>
      <c r="T182" s="76" t="s">
        <v>818</v>
      </c>
      <c r="U182" s="77"/>
      <c r="V182" s="26" t="s">
        <v>79</v>
      </c>
      <c r="W182" s="25"/>
      <c r="X182" s="26" t="s">
        <v>80</v>
      </c>
      <c r="Y182" s="85"/>
      <c r="Z182" s="26" t="s">
        <v>79</v>
      </c>
      <c r="AA182" s="25"/>
      <c r="AB182" s="26" t="s">
        <v>80</v>
      </c>
      <c r="AD182" s="23" t="s">
        <v>785</v>
      </c>
    </row>
    <row r="183" spans="2:30" ht="170.1">
      <c r="B183" s="21" t="s">
        <v>819</v>
      </c>
      <c r="C183" s="20"/>
      <c r="D183" s="21" t="s">
        <v>820</v>
      </c>
      <c r="E183" s="20"/>
      <c r="F183" s="23" t="s">
        <v>254</v>
      </c>
      <c r="H183" s="21" t="s">
        <v>796</v>
      </c>
      <c r="J183" s="21" t="s">
        <v>89</v>
      </c>
      <c r="L183" s="21" t="s">
        <v>737</v>
      </c>
      <c r="N183" s="21" t="s">
        <v>781</v>
      </c>
      <c r="P183" s="21" t="s">
        <v>821</v>
      </c>
      <c r="R183" s="64" t="s">
        <v>783</v>
      </c>
      <c r="S183" s="20"/>
      <c r="T183" s="76" t="s">
        <v>822</v>
      </c>
      <c r="U183" s="77"/>
      <c r="V183" s="26" t="s">
        <v>79</v>
      </c>
      <c r="W183" s="25"/>
      <c r="X183" s="26" t="s">
        <v>80</v>
      </c>
      <c r="Y183" s="85"/>
      <c r="Z183" s="26" t="s">
        <v>79</v>
      </c>
      <c r="AA183" s="25"/>
      <c r="AB183" s="26" t="s">
        <v>80</v>
      </c>
      <c r="AD183" s="23" t="s">
        <v>785</v>
      </c>
    </row>
    <row r="184" spans="2:30" ht="170.1">
      <c r="B184" s="21" t="s">
        <v>823</v>
      </c>
      <c r="C184" s="20"/>
      <c r="D184" s="21" t="s">
        <v>824</v>
      </c>
      <c r="E184" s="20"/>
      <c r="F184" s="23" t="s">
        <v>254</v>
      </c>
      <c r="H184" s="21" t="s">
        <v>796</v>
      </c>
      <c r="J184" s="21" t="s">
        <v>89</v>
      </c>
      <c r="L184" s="21" t="s">
        <v>737</v>
      </c>
      <c r="N184" s="21" t="s">
        <v>781</v>
      </c>
      <c r="P184" s="21" t="s">
        <v>825</v>
      </c>
      <c r="R184" s="64" t="s">
        <v>783</v>
      </c>
      <c r="S184" s="20"/>
      <c r="T184" s="76" t="s">
        <v>826</v>
      </c>
      <c r="U184" s="77"/>
      <c r="V184" s="26" t="s">
        <v>79</v>
      </c>
      <c r="W184" s="25"/>
      <c r="X184" s="26" t="s">
        <v>80</v>
      </c>
      <c r="Y184" s="85"/>
      <c r="Z184" s="26" t="s">
        <v>79</v>
      </c>
      <c r="AA184" s="25"/>
      <c r="AB184" s="26" t="s">
        <v>80</v>
      </c>
      <c r="AD184" s="23" t="s">
        <v>785</v>
      </c>
    </row>
    <row r="185" spans="2:30" ht="170.1">
      <c r="B185" s="21" t="s">
        <v>827</v>
      </c>
      <c r="C185" s="20"/>
      <c r="D185" s="21" t="s">
        <v>828</v>
      </c>
      <c r="E185" s="20"/>
      <c r="F185" s="23" t="s">
        <v>254</v>
      </c>
      <c r="H185" s="21" t="s">
        <v>796</v>
      </c>
      <c r="J185" s="21" t="s">
        <v>89</v>
      </c>
      <c r="L185" s="21" t="s">
        <v>737</v>
      </c>
      <c r="N185" s="21" t="s">
        <v>781</v>
      </c>
      <c r="P185" s="21" t="s">
        <v>829</v>
      </c>
      <c r="R185" s="64" t="s">
        <v>783</v>
      </c>
      <c r="S185" s="20"/>
      <c r="T185" s="76" t="s">
        <v>830</v>
      </c>
      <c r="U185" s="77"/>
      <c r="V185" s="26" t="s">
        <v>79</v>
      </c>
      <c r="W185" s="25"/>
      <c r="X185" s="26" t="s">
        <v>80</v>
      </c>
      <c r="Y185" s="85"/>
      <c r="Z185" s="26" t="s">
        <v>79</v>
      </c>
      <c r="AA185" s="25"/>
      <c r="AB185" s="26" t="s">
        <v>80</v>
      </c>
      <c r="AD185" s="23" t="s">
        <v>785</v>
      </c>
    </row>
    <row r="186" spans="2:30" ht="170.1">
      <c r="B186" s="21" t="s">
        <v>831</v>
      </c>
      <c r="C186" s="20"/>
      <c r="D186" s="21" t="s">
        <v>832</v>
      </c>
      <c r="E186" s="20"/>
      <c r="F186" s="23" t="s">
        <v>254</v>
      </c>
      <c r="H186" s="21" t="s">
        <v>796</v>
      </c>
      <c r="J186" s="21" t="s">
        <v>89</v>
      </c>
      <c r="L186" s="21" t="s">
        <v>737</v>
      </c>
      <c r="N186" s="21" t="s">
        <v>781</v>
      </c>
      <c r="P186" s="21" t="s">
        <v>833</v>
      </c>
      <c r="R186" s="64" t="s">
        <v>783</v>
      </c>
      <c r="S186" s="20"/>
      <c r="T186" s="76" t="s">
        <v>834</v>
      </c>
      <c r="U186" s="77"/>
      <c r="V186" s="26" t="s">
        <v>79</v>
      </c>
      <c r="W186" s="25"/>
      <c r="X186" s="26" t="s">
        <v>80</v>
      </c>
      <c r="Y186" s="85"/>
      <c r="Z186" s="26" t="s">
        <v>79</v>
      </c>
      <c r="AA186" s="25"/>
      <c r="AB186" s="26" t="s">
        <v>80</v>
      </c>
      <c r="AD186" s="23" t="s">
        <v>785</v>
      </c>
    </row>
    <row r="187" spans="2:30" ht="170.1">
      <c r="B187" s="21" t="s">
        <v>835</v>
      </c>
      <c r="C187" s="20"/>
      <c r="D187" s="21" t="s">
        <v>836</v>
      </c>
      <c r="E187" s="20"/>
      <c r="F187" s="23" t="s">
        <v>254</v>
      </c>
      <c r="H187" s="21" t="s">
        <v>796</v>
      </c>
      <c r="J187" s="21" t="s">
        <v>89</v>
      </c>
      <c r="L187" s="21" t="s">
        <v>737</v>
      </c>
      <c r="N187" s="21" t="s">
        <v>781</v>
      </c>
      <c r="P187" s="21" t="s">
        <v>837</v>
      </c>
      <c r="R187" s="64" t="s">
        <v>783</v>
      </c>
      <c r="S187" s="20"/>
      <c r="T187" s="76" t="s">
        <v>838</v>
      </c>
      <c r="U187" s="77"/>
      <c r="V187" s="26" t="s">
        <v>79</v>
      </c>
      <c r="W187" s="25"/>
      <c r="X187" s="26" t="s">
        <v>80</v>
      </c>
      <c r="Y187" s="85"/>
      <c r="Z187" s="26" t="s">
        <v>79</v>
      </c>
      <c r="AA187" s="25"/>
      <c r="AB187" s="26" t="s">
        <v>80</v>
      </c>
      <c r="AD187" s="23" t="s">
        <v>785</v>
      </c>
    </row>
    <row r="188" spans="2:30" ht="339.95">
      <c r="B188" s="21" t="s">
        <v>839</v>
      </c>
      <c r="C188" s="20"/>
      <c r="D188" s="21" t="s">
        <v>840</v>
      </c>
      <c r="E188" s="20"/>
      <c r="F188" s="23" t="s">
        <v>254</v>
      </c>
      <c r="H188" s="21" t="s">
        <v>796</v>
      </c>
      <c r="J188" s="21" t="s">
        <v>89</v>
      </c>
      <c r="L188" s="21" t="s">
        <v>737</v>
      </c>
      <c r="N188" s="21" t="s">
        <v>781</v>
      </c>
      <c r="P188" s="21" t="s">
        <v>841</v>
      </c>
      <c r="R188" s="64" t="s">
        <v>783</v>
      </c>
      <c r="S188" s="20"/>
      <c r="T188" s="76" t="s">
        <v>842</v>
      </c>
      <c r="U188" s="77"/>
      <c r="V188" s="26" t="s">
        <v>79</v>
      </c>
      <c r="W188" s="25"/>
      <c r="X188" s="26" t="s">
        <v>80</v>
      </c>
      <c r="Y188" s="85"/>
      <c r="Z188" s="26" t="s">
        <v>79</v>
      </c>
      <c r="AA188" s="25"/>
      <c r="AB188" s="26" t="s">
        <v>80</v>
      </c>
      <c r="AD188" s="23" t="s">
        <v>785</v>
      </c>
    </row>
    <row r="189" spans="2:30" ht="404.1">
      <c r="B189" s="21" t="s">
        <v>843</v>
      </c>
      <c r="C189" s="20"/>
      <c r="D189" s="21" t="s">
        <v>844</v>
      </c>
      <c r="E189" s="20"/>
      <c r="F189" s="23" t="s">
        <v>254</v>
      </c>
      <c r="H189" s="21" t="s">
        <v>796</v>
      </c>
      <c r="J189" s="21" t="s">
        <v>89</v>
      </c>
      <c r="L189" s="21" t="s">
        <v>737</v>
      </c>
      <c r="N189" s="21" t="s">
        <v>781</v>
      </c>
      <c r="P189" s="21" t="s">
        <v>845</v>
      </c>
      <c r="R189" s="64" t="s">
        <v>783</v>
      </c>
      <c r="S189" s="20"/>
      <c r="T189" s="76" t="s">
        <v>846</v>
      </c>
      <c r="U189" s="77"/>
      <c r="V189" s="26" t="s">
        <v>79</v>
      </c>
      <c r="W189" s="25"/>
      <c r="X189" s="26" t="s">
        <v>80</v>
      </c>
      <c r="Y189" s="85"/>
      <c r="Z189" s="26" t="s">
        <v>79</v>
      </c>
      <c r="AA189" s="25"/>
      <c r="AB189" s="26" t="s">
        <v>80</v>
      </c>
      <c r="AD189" s="23" t="s">
        <v>785</v>
      </c>
    </row>
    <row r="190" spans="2:30" ht="408" customHeight="1">
      <c r="B190" s="21" t="s">
        <v>847</v>
      </c>
      <c r="C190" s="20"/>
      <c r="D190" s="21" t="s">
        <v>848</v>
      </c>
      <c r="E190" s="20"/>
      <c r="F190" s="23" t="s">
        <v>254</v>
      </c>
      <c r="H190" s="21" t="s">
        <v>796</v>
      </c>
      <c r="J190" s="21" t="s">
        <v>89</v>
      </c>
      <c r="L190" s="21" t="s">
        <v>737</v>
      </c>
      <c r="N190" s="21" t="s">
        <v>781</v>
      </c>
      <c r="P190" s="21" t="s">
        <v>849</v>
      </c>
      <c r="R190" s="64" t="s">
        <v>783</v>
      </c>
      <c r="S190" s="20"/>
      <c r="T190" s="76" t="s">
        <v>850</v>
      </c>
      <c r="U190" s="77"/>
      <c r="V190" s="26" t="s">
        <v>79</v>
      </c>
      <c r="W190" s="25"/>
      <c r="X190" s="26" t="s">
        <v>80</v>
      </c>
      <c r="Y190" s="85"/>
      <c r="Z190" s="26" t="s">
        <v>79</v>
      </c>
      <c r="AA190" s="25"/>
      <c r="AB190" s="26" t="s">
        <v>80</v>
      </c>
      <c r="AD190" s="23" t="s">
        <v>785</v>
      </c>
    </row>
    <row r="191" spans="2:30" ht="404.1">
      <c r="B191" s="21" t="s">
        <v>851</v>
      </c>
      <c r="C191" s="20"/>
      <c r="D191" s="21" t="s">
        <v>852</v>
      </c>
      <c r="E191" s="20"/>
      <c r="F191" s="23" t="s">
        <v>254</v>
      </c>
      <c r="H191" s="21" t="s">
        <v>796</v>
      </c>
      <c r="J191" s="21" t="s">
        <v>89</v>
      </c>
      <c r="L191" s="21" t="s">
        <v>737</v>
      </c>
      <c r="N191" s="21" t="s">
        <v>781</v>
      </c>
      <c r="P191" s="21" t="s">
        <v>853</v>
      </c>
      <c r="R191" s="64" t="s">
        <v>783</v>
      </c>
      <c r="S191" s="20"/>
      <c r="T191" s="76" t="s">
        <v>854</v>
      </c>
      <c r="U191" s="77"/>
      <c r="V191" s="26" t="s">
        <v>79</v>
      </c>
      <c r="W191" s="25"/>
      <c r="X191" s="26" t="s">
        <v>80</v>
      </c>
      <c r="Y191" s="85"/>
      <c r="Z191" s="26" t="s">
        <v>79</v>
      </c>
      <c r="AA191" s="25"/>
      <c r="AB191" s="26" t="s">
        <v>80</v>
      </c>
      <c r="AD191" s="23" t="s">
        <v>785</v>
      </c>
    </row>
    <row r="192" spans="2:30" ht="408" customHeight="1">
      <c r="B192" s="21" t="s">
        <v>855</v>
      </c>
      <c r="C192" s="20"/>
      <c r="D192" s="21" t="s">
        <v>856</v>
      </c>
      <c r="E192" s="20"/>
      <c r="F192" s="23" t="s">
        <v>254</v>
      </c>
      <c r="H192" s="21" t="s">
        <v>796</v>
      </c>
      <c r="J192" s="21" t="s">
        <v>89</v>
      </c>
      <c r="L192" s="21" t="s">
        <v>737</v>
      </c>
      <c r="N192" s="21" t="s">
        <v>781</v>
      </c>
      <c r="P192" s="21" t="s">
        <v>857</v>
      </c>
      <c r="R192" s="64" t="s">
        <v>783</v>
      </c>
      <c r="S192" s="20"/>
      <c r="T192" s="76" t="s">
        <v>858</v>
      </c>
      <c r="U192" s="77"/>
      <c r="V192" s="26" t="s">
        <v>79</v>
      </c>
      <c r="W192" s="25"/>
      <c r="X192" s="26" t="s">
        <v>80</v>
      </c>
      <c r="Y192" s="85"/>
      <c r="Z192" s="26" t="s">
        <v>79</v>
      </c>
      <c r="AA192" s="25"/>
      <c r="AB192" s="26" t="s">
        <v>80</v>
      </c>
      <c r="AD192" s="23" t="s">
        <v>785</v>
      </c>
    </row>
    <row r="193" spans="2:30" ht="409.6">
      <c r="B193" s="21" t="s">
        <v>859</v>
      </c>
      <c r="C193" s="20"/>
      <c r="D193" s="21" t="s">
        <v>860</v>
      </c>
      <c r="E193" s="20"/>
      <c r="F193" s="23" t="s">
        <v>254</v>
      </c>
      <c r="H193" s="21" t="s">
        <v>796</v>
      </c>
      <c r="J193" s="21" t="s">
        <v>89</v>
      </c>
      <c r="L193" s="21" t="s">
        <v>737</v>
      </c>
      <c r="N193" s="21" t="s">
        <v>781</v>
      </c>
      <c r="P193" s="21" t="s">
        <v>861</v>
      </c>
      <c r="R193" s="64" t="s">
        <v>862</v>
      </c>
      <c r="S193" s="20"/>
      <c r="T193" s="76" t="s">
        <v>863</v>
      </c>
      <c r="U193" s="77"/>
      <c r="V193" s="26" t="s">
        <v>79</v>
      </c>
      <c r="W193" s="25"/>
      <c r="X193" s="26" t="s">
        <v>80</v>
      </c>
      <c r="Y193" s="85"/>
      <c r="Z193" s="26" t="s">
        <v>79</v>
      </c>
      <c r="AA193" s="25"/>
      <c r="AB193" s="26" t="s">
        <v>80</v>
      </c>
      <c r="AD193" s="23" t="s">
        <v>785</v>
      </c>
    </row>
    <row r="194" spans="2:30" ht="409.6">
      <c r="B194" s="21" t="s">
        <v>864</v>
      </c>
      <c r="C194" s="20"/>
      <c r="D194" s="21" t="s">
        <v>865</v>
      </c>
      <c r="E194" s="20"/>
      <c r="F194" s="23" t="s">
        <v>254</v>
      </c>
      <c r="H194" s="21" t="s">
        <v>796</v>
      </c>
      <c r="J194" s="21" t="s">
        <v>89</v>
      </c>
      <c r="L194" s="21" t="s">
        <v>737</v>
      </c>
      <c r="N194" s="21" t="s">
        <v>781</v>
      </c>
      <c r="P194" s="21" t="s">
        <v>866</v>
      </c>
      <c r="R194" s="64" t="s">
        <v>862</v>
      </c>
      <c r="S194" s="20"/>
      <c r="T194" s="76" t="s">
        <v>867</v>
      </c>
      <c r="U194" s="77"/>
      <c r="V194" s="26" t="s">
        <v>79</v>
      </c>
      <c r="W194" s="25"/>
      <c r="X194" s="26" t="s">
        <v>80</v>
      </c>
      <c r="Y194" s="85"/>
      <c r="Z194" s="26" t="s">
        <v>79</v>
      </c>
      <c r="AA194" s="25"/>
      <c r="AB194" s="26" t="s">
        <v>80</v>
      </c>
      <c r="AD194" s="23" t="s">
        <v>785</v>
      </c>
    </row>
    <row r="195" spans="2:30" ht="409.6">
      <c r="B195" s="21" t="s">
        <v>868</v>
      </c>
      <c r="C195" s="20"/>
      <c r="D195" s="21" t="s">
        <v>869</v>
      </c>
      <c r="E195" s="20"/>
      <c r="F195" s="23" t="s">
        <v>254</v>
      </c>
      <c r="H195" s="21" t="s">
        <v>796</v>
      </c>
      <c r="J195" s="21" t="s">
        <v>89</v>
      </c>
      <c r="L195" s="21" t="s">
        <v>737</v>
      </c>
      <c r="N195" s="21" t="s">
        <v>781</v>
      </c>
      <c r="P195" s="25" t="s">
        <v>870</v>
      </c>
      <c r="R195" s="64" t="s">
        <v>862</v>
      </c>
      <c r="S195" s="20"/>
      <c r="T195" s="76" t="s">
        <v>871</v>
      </c>
      <c r="U195" s="77"/>
      <c r="V195" s="26" t="s">
        <v>79</v>
      </c>
      <c r="W195" s="25"/>
      <c r="X195" s="26" t="s">
        <v>80</v>
      </c>
      <c r="Y195" s="85"/>
      <c r="Z195" s="26" t="s">
        <v>79</v>
      </c>
      <c r="AA195" s="25"/>
      <c r="AB195" s="26" t="s">
        <v>80</v>
      </c>
      <c r="AD195" s="23" t="s">
        <v>785</v>
      </c>
    </row>
    <row r="196" spans="2:30" ht="356.1">
      <c r="B196" s="21" t="s">
        <v>872</v>
      </c>
      <c r="C196" s="20"/>
      <c r="D196" s="21" t="s">
        <v>873</v>
      </c>
      <c r="E196" s="20"/>
      <c r="F196" s="23" t="s">
        <v>254</v>
      </c>
      <c r="H196" s="21" t="s">
        <v>796</v>
      </c>
      <c r="J196" s="21" t="s">
        <v>89</v>
      </c>
      <c r="L196" s="21" t="s">
        <v>737</v>
      </c>
      <c r="N196" s="21" t="s">
        <v>781</v>
      </c>
      <c r="P196" s="21" t="s">
        <v>874</v>
      </c>
      <c r="R196" s="64" t="s">
        <v>862</v>
      </c>
      <c r="S196" s="20"/>
      <c r="T196" s="76" t="s">
        <v>875</v>
      </c>
      <c r="U196" s="77"/>
      <c r="V196" s="26" t="s">
        <v>79</v>
      </c>
      <c r="W196" s="25"/>
      <c r="X196" s="26" t="s">
        <v>80</v>
      </c>
      <c r="Y196" s="85"/>
      <c r="Z196" s="26" t="s">
        <v>79</v>
      </c>
      <c r="AA196" s="25"/>
      <c r="AB196" s="26" t="s">
        <v>80</v>
      </c>
      <c r="AD196" s="23" t="s">
        <v>785</v>
      </c>
    </row>
    <row r="197" spans="2:30" ht="409.6">
      <c r="B197" s="21" t="s">
        <v>876</v>
      </c>
      <c r="C197" s="20"/>
      <c r="D197" s="21" t="s">
        <v>877</v>
      </c>
      <c r="E197" s="20"/>
      <c r="F197" s="23" t="s">
        <v>254</v>
      </c>
      <c r="H197" s="21" t="s">
        <v>796</v>
      </c>
      <c r="J197" s="21" t="s">
        <v>89</v>
      </c>
      <c r="L197" s="21" t="s">
        <v>737</v>
      </c>
      <c r="N197" s="21" t="s">
        <v>781</v>
      </c>
      <c r="P197" s="21" t="s">
        <v>878</v>
      </c>
      <c r="R197" s="64" t="s">
        <v>862</v>
      </c>
      <c r="S197" s="20"/>
      <c r="T197" s="76" t="s">
        <v>879</v>
      </c>
      <c r="U197" s="77"/>
      <c r="V197" s="26" t="s">
        <v>79</v>
      </c>
      <c r="W197" s="25"/>
      <c r="X197" s="26" t="s">
        <v>80</v>
      </c>
      <c r="Y197" s="85"/>
      <c r="Z197" s="26" t="s">
        <v>79</v>
      </c>
      <c r="AA197" s="25"/>
      <c r="AB197" s="26" t="s">
        <v>80</v>
      </c>
      <c r="AD197" s="23" t="s">
        <v>785</v>
      </c>
    </row>
    <row r="198" spans="2:30" ht="404.1">
      <c r="B198" s="21" t="s">
        <v>880</v>
      </c>
      <c r="C198" s="20"/>
      <c r="D198" s="21" t="s">
        <v>881</v>
      </c>
      <c r="E198" s="20"/>
      <c r="F198" s="23" t="s">
        <v>254</v>
      </c>
      <c r="H198" s="21" t="s">
        <v>796</v>
      </c>
      <c r="J198" s="21" t="s">
        <v>89</v>
      </c>
      <c r="L198" s="21" t="s">
        <v>737</v>
      </c>
      <c r="N198" s="21" t="s">
        <v>781</v>
      </c>
      <c r="P198" s="21" t="s">
        <v>882</v>
      </c>
      <c r="R198" s="64" t="s">
        <v>862</v>
      </c>
      <c r="S198" s="20"/>
      <c r="T198" s="76" t="s">
        <v>883</v>
      </c>
      <c r="U198" s="77"/>
      <c r="V198" s="26" t="s">
        <v>79</v>
      </c>
      <c r="W198" s="25"/>
      <c r="X198" s="26" t="s">
        <v>80</v>
      </c>
      <c r="Y198" s="85"/>
      <c r="Z198" s="26" t="s">
        <v>79</v>
      </c>
      <c r="AA198" s="25"/>
      <c r="AB198" s="26" t="s">
        <v>80</v>
      </c>
      <c r="AD198" s="23" t="s">
        <v>785</v>
      </c>
    </row>
    <row r="199" spans="2:30" ht="404.1">
      <c r="B199" s="21" t="s">
        <v>884</v>
      </c>
      <c r="C199" s="20"/>
      <c r="D199" s="21" t="s">
        <v>885</v>
      </c>
      <c r="E199" s="20"/>
      <c r="F199" s="23" t="s">
        <v>254</v>
      </c>
      <c r="H199" s="21" t="s">
        <v>796</v>
      </c>
      <c r="J199" s="21" t="s">
        <v>89</v>
      </c>
      <c r="L199" s="21" t="s">
        <v>737</v>
      </c>
      <c r="N199" s="21" t="s">
        <v>781</v>
      </c>
      <c r="P199" s="21" t="s">
        <v>886</v>
      </c>
      <c r="R199" s="64" t="s">
        <v>862</v>
      </c>
      <c r="S199" s="20"/>
      <c r="T199" s="76" t="s">
        <v>887</v>
      </c>
      <c r="U199" s="77"/>
      <c r="V199" s="26" t="s">
        <v>79</v>
      </c>
      <c r="W199" s="25"/>
      <c r="X199" s="26" t="s">
        <v>80</v>
      </c>
      <c r="Y199" s="85"/>
      <c r="Z199" s="26" t="s">
        <v>79</v>
      </c>
      <c r="AA199" s="25"/>
      <c r="AB199" s="26" t="s">
        <v>80</v>
      </c>
      <c r="AD199" s="23" t="s">
        <v>785</v>
      </c>
    </row>
    <row r="200" spans="2:30" ht="372">
      <c r="B200" s="21" t="s">
        <v>888</v>
      </c>
      <c r="C200" s="20"/>
      <c r="D200" s="21" t="s">
        <v>889</v>
      </c>
      <c r="E200" s="20"/>
      <c r="F200" s="23" t="s">
        <v>254</v>
      </c>
      <c r="H200" s="21" t="s">
        <v>796</v>
      </c>
      <c r="J200" s="21" t="s">
        <v>89</v>
      </c>
      <c r="L200" s="21" t="s">
        <v>737</v>
      </c>
      <c r="N200" s="21" t="s">
        <v>781</v>
      </c>
      <c r="P200" s="21" t="s">
        <v>890</v>
      </c>
      <c r="R200" s="64" t="s">
        <v>862</v>
      </c>
      <c r="S200" s="20"/>
      <c r="T200" s="76" t="s">
        <v>891</v>
      </c>
      <c r="U200" s="77"/>
      <c r="V200" s="26" t="s">
        <v>79</v>
      </c>
      <c r="W200" s="25"/>
      <c r="X200" s="26" t="s">
        <v>80</v>
      </c>
      <c r="Y200" s="85"/>
      <c r="Z200" s="26" t="s">
        <v>79</v>
      </c>
      <c r="AA200" s="25"/>
      <c r="AB200" s="26" t="s">
        <v>80</v>
      </c>
      <c r="AD200" s="23" t="s">
        <v>785</v>
      </c>
    </row>
    <row r="201" spans="2:30" ht="387.95">
      <c r="B201" s="21" t="s">
        <v>892</v>
      </c>
      <c r="C201" s="20"/>
      <c r="D201" s="21" t="s">
        <v>893</v>
      </c>
      <c r="E201" s="20"/>
      <c r="F201" s="23" t="s">
        <v>254</v>
      </c>
      <c r="H201" s="21" t="s">
        <v>796</v>
      </c>
      <c r="J201" s="21" t="s">
        <v>89</v>
      </c>
      <c r="L201" s="21" t="s">
        <v>737</v>
      </c>
      <c r="N201" s="21" t="s">
        <v>781</v>
      </c>
      <c r="P201" s="21" t="s">
        <v>894</v>
      </c>
      <c r="R201" s="64" t="s">
        <v>862</v>
      </c>
      <c r="S201" s="20"/>
      <c r="T201" s="76" t="s">
        <v>895</v>
      </c>
      <c r="U201" s="77"/>
      <c r="V201" s="26" t="s">
        <v>79</v>
      </c>
      <c r="W201" s="25"/>
      <c r="X201" s="26" t="s">
        <v>80</v>
      </c>
      <c r="Y201" s="85"/>
      <c r="Z201" s="26" t="s">
        <v>79</v>
      </c>
      <c r="AA201" s="25"/>
      <c r="AB201" s="26" t="s">
        <v>80</v>
      </c>
      <c r="AD201" s="23" t="s">
        <v>785</v>
      </c>
    </row>
    <row r="202" spans="2:30" ht="409.6">
      <c r="B202" s="21" t="s">
        <v>896</v>
      </c>
      <c r="C202" s="20"/>
      <c r="D202" s="21" t="s">
        <v>897</v>
      </c>
      <c r="E202" s="20"/>
      <c r="F202" s="23" t="s">
        <v>254</v>
      </c>
      <c r="H202" s="21" t="s">
        <v>796</v>
      </c>
      <c r="J202" s="21" t="s">
        <v>89</v>
      </c>
      <c r="L202" s="21" t="s">
        <v>737</v>
      </c>
      <c r="N202" s="21" t="s">
        <v>781</v>
      </c>
      <c r="P202" s="21" t="s">
        <v>898</v>
      </c>
      <c r="R202" s="64" t="s">
        <v>862</v>
      </c>
      <c r="S202" s="20"/>
      <c r="T202" s="76" t="s">
        <v>899</v>
      </c>
      <c r="U202" s="77"/>
      <c r="V202" s="26" t="s">
        <v>79</v>
      </c>
      <c r="W202" s="25"/>
      <c r="X202" s="26" t="s">
        <v>80</v>
      </c>
      <c r="Y202" s="85"/>
      <c r="Z202" s="26" t="s">
        <v>79</v>
      </c>
      <c r="AA202" s="25"/>
      <c r="AB202" s="26" t="s">
        <v>80</v>
      </c>
      <c r="AD202" s="23" t="s">
        <v>785</v>
      </c>
    </row>
    <row r="203" spans="2:30" ht="387.95">
      <c r="B203" s="21" t="s">
        <v>900</v>
      </c>
      <c r="C203" s="20"/>
      <c r="D203" s="21" t="s">
        <v>901</v>
      </c>
      <c r="E203" s="20"/>
      <c r="F203" s="23" t="s">
        <v>254</v>
      </c>
      <c r="H203" s="21" t="s">
        <v>796</v>
      </c>
      <c r="J203" s="21" t="s">
        <v>89</v>
      </c>
      <c r="L203" s="21" t="s">
        <v>737</v>
      </c>
      <c r="N203" s="21" t="s">
        <v>781</v>
      </c>
      <c r="P203" s="21" t="s">
        <v>902</v>
      </c>
      <c r="R203" s="64" t="s">
        <v>862</v>
      </c>
      <c r="S203" s="20"/>
      <c r="T203" s="76" t="s">
        <v>903</v>
      </c>
      <c r="U203" s="77"/>
      <c r="V203" s="26" t="s">
        <v>79</v>
      </c>
      <c r="W203" s="25"/>
      <c r="X203" s="26" t="s">
        <v>80</v>
      </c>
      <c r="Y203" s="85"/>
      <c r="Z203" s="26" t="s">
        <v>79</v>
      </c>
      <c r="AA203" s="25"/>
      <c r="AB203" s="26" t="s">
        <v>80</v>
      </c>
      <c r="AD203" s="23" t="s">
        <v>785</v>
      </c>
    </row>
    <row r="204" spans="2:30" ht="409.6">
      <c r="B204" s="21" t="s">
        <v>904</v>
      </c>
      <c r="C204" s="20"/>
      <c r="D204" s="21" t="s">
        <v>905</v>
      </c>
      <c r="E204" s="20"/>
      <c r="F204" s="23" t="s">
        <v>254</v>
      </c>
      <c r="H204" s="21" t="s">
        <v>796</v>
      </c>
      <c r="J204" s="21" t="s">
        <v>89</v>
      </c>
      <c r="L204" s="21" t="s">
        <v>737</v>
      </c>
      <c r="N204" s="21" t="s">
        <v>781</v>
      </c>
      <c r="P204" s="21" t="s">
        <v>906</v>
      </c>
      <c r="R204" s="64" t="s">
        <v>862</v>
      </c>
      <c r="S204" s="20"/>
      <c r="T204" s="76" t="s">
        <v>907</v>
      </c>
      <c r="U204" s="77"/>
      <c r="V204" s="26" t="s">
        <v>79</v>
      </c>
      <c r="W204" s="25"/>
      <c r="X204" s="26" t="s">
        <v>80</v>
      </c>
      <c r="Y204" s="85"/>
      <c r="Z204" s="26" t="s">
        <v>79</v>
      </c>
      <c r="AA204" s="25"/>
      <c r="AB204" s="26" t="s">
        <v>80</v>
      </c>
      <c r="AD204" s="23" t="s">
        <v>785</v>
      </c>
    </row>
    <row r="205" spans="2:30" ht="306">
      <c r="B205" s="21" t="s">
        <v>908</v>
      </c>
      <c r="C205" s="20"/>
      <c r="D205" s="21" t="s">
        <v>909</v>
      </c>
      <c r="E205" s="20"/>
      <c r="F205" s="23" t="s">
        <v>254</v>
      </c>
      <c r="H205" s="21" t="s">
        <v>796</v>
      </c>
      <c r="J205" s="21" t="s">
        <v>89</v>
      </c>
      <c r="L205" s="21" t="s">
        <v>737</v>
      </c>
      <c r="N205" s="21" t="s">
        <v>781</v>
      </c>
      <c r="P205" s="21" t="s">
        <v>910</v>
      </c>
      <c r="R205" s="64" t="s">
        <v>862</v>
      </c>
      <c r="S205" s="20"/>
      <c r="T205" s="76" t="s">
        <v>911</v>
      </c>
      <c r="U205" s="77"/>
      <c r="V205" s="26" t="s">
        <v>79</v>
      </c>
      <c r="W205" s="25"/>
      <c r="X205" s="26" t="s">
        <v>80</v>
      </c>
      <c r="Y205" s="85"/>
      <c r="Z205" s="26" t="s">
        <v>79</v>
      </c>
      <c r="AA205" s="25"/>
      <c r="AB205" s="26" t="s">
        <v>80</v>
      </c>
      <c r="AD205" s="23" t="s">
        <v>785</v>
      </c>
    </row>
    <row r="206" spans="2:30" ht="186.95">
      <c r="B206" s="21" t="s">
        <v>912</v>
      </c>
      <c r="C206" s="20"/>
      <c r="D206" s="21" t="s">
        <v>913</v>
      </c>
      <c r="E206" s="20"/>
      <c r="F206" s="23" t="s">
        <v>658</v>
      </c>
      <c r="H206" s="21" t="s">
        <v>914</v>
      </c>
      <c r="J206" s="21" t="s">
        <v>89</v>
      </c>
      <c r="L206" s="21" t="s">
        <v>737</v>
      </c>
      <c r="N206" s="21" t="s">
        <v>781</v>
      </c>
      <c r="P206" s="21" t="s">
        <v>915</v>
      </c>
      <c r="R206" s="64" t="s">
        <v>862</v>
      </c>
      <c r="S206" s="20"/>
      <c r="T206" s="76" t="s">
        <v>916</v>
      </c>
      <c r="U206" s="77"/>
      <c r="V206" s="26" t="s">
        <v>79</v>
      </c>
      <c r="W206" s="25"/>
      <c r="X206" s="26" t="s">
        <v>80</v>
      </c>
      <c r="Y206" s="85"/>
      <c r="Z206" s="26" t="s">
        <v>79</v>
      </c>
      <c r="AA206" s="25"/>
      <c r="AB206" s="26" t="s">
        <v>80</v>
      </c>
      <c r="AD206" s="23" t="s">
        <v>785</v>
      </c>
    </row>
    <row r="207" spans="2:30" ht="186.95">
      <c r="B207" s="21" t="s">
        <v>917</v>
      </c>
      <c r="C207" s="20"/>
      <c r="D207" s="21" t="s">
        <v>918</v>
      </c>
      <c r="E207" s="20"/>
      <c r="F207" s="23" t="s">
        <v>658</v>
      </c>
      <c r="H207" s="21" t="s">
        <v>914</v>
      </c>
      <c r="J207" s="21" t="s">
        <v>89</v>
      </c>
      <c r="L207" s="21" t="s">
        <v>737</v>
      </c>
      <c r="N207" s="21" t="s">
        <v>781</v>
      </c>
      <c r="P207" s="21" t="s">
        <v>919</v>
      </c>
      <c r="R207" s="64" t="s">
        <v>862</v>
      </c>
      <c r="S207" s="20"/>
      <c r="T207" s="76" t="s">
        <v>920</v>
      </c>
      <c r="U207" s="77"/>
      <c r="V207" s="26" t="s">
        <v>79</v>
      </c>
      <c r="W207" s="25"/>
      <c r="X207" s="26" t="s">
        <v>80</v>
      </c>
      <c r="Y207" s="85"/>
      <c r="Z207" s="26" t="s">
        <v>79</v>
      </c>
      <c r="AA207" s="25"/>
      <c r="AB207" s="26" t="s">
        <v>80</v>
      </c>
      <c r="AD207" s="23" t="s">
        <v>785</v>
      </c>
    </row>
    <row r="208" spans="2:30" ht="186.95">
      <c r="B208" s="21" t="s">
        <v>921</v>
      </c>
      <c r="C208" s="20"/>
      <c r="D208" s="21" t="s">
        <v>922</v>
      </c>
      <c r="E208" s="20"/>
      <c r="F208" s="23" t="s">
        <v>658</v>
      </c>
      <c r="H208" s="21" t="s">
        <v>914</v>
      </c>
      <c r="J208" s="21" t="s">
        <v>89</v>
      </c>
      <c r="L208" s="21" t="s">
        <v>737</v>
      </c>
      <c r="N208" s="21" t="s">
        <v>781</v>
      </c>
      <c r="P208" s="21" t="s">
        <v>923</v>
      </c>
      <c r="R208" s="64" t="s">
        <v>862</v>
      </c>
      <c r="S208" s="20"/>
      <c r="T208" s="76" t="s">
        <v>924</v>
      </c>
      <c r="U208" s="77"/>
      <c r="V208" s="26" t="s">
        <v>79</v>
      </c>
      <c r="W208" s="25"/>
      <c r="X208" s="26" t="s">
        <v>80</v>
      </c>
      <c r="Y208" s="85"/>
      <c r="Z208" s="26" t="s">
        <v>79</v>
      </c>
      <c r="AA208" s="25"/>
      <c r="AB208" s="26" t="s">
        <v>80</v>
      </c>
      <c r="AD208" s="23" t="s">
        <v>785</v>
      </c>
    </row>
    <row r="209" spans="2:30" ht="221.1">
      <c r="B209" s="21" t="s">
        <v>925</v>
      </c>
      <c r="C209" s="20"/>
      <c r="D209" s="21" t="s">
        <v>926</v>
      </c>
      <c r="E209" s="20"/>
      <c r="F209" s="23" t="s">
        <v>123</v>
      </c>
      <c r="H209" s="21" t="s">
        <v>914</v>
      </c>
      <c r="J209" s="21" t="s">
        <v>89</v>
      </c>
      <c r="L209" s="21" t="s">
        <v>737</v>
      </c>
      <c r="N209" s="21" t="s">
        <v>781</v>
      </c>
      <c r="P209" s="21" t="s">
        <v>927</v>
      </c>
      <c r="R209" s="64" t="s">
        <v>862</v>
      </c>
      <c r="S209" s="20"/>
      <c r="T209" s="76" t="s">
        <v>928</v>
      </c>
      <c r="U209" s="77"/>
      <c r="V209" s="26" t="s">
        <v>79</v>
      </c>
      <c r="W209" s="25"/>
      <c r="X209" s="26" t="s">
        <v>80</v>
      </c>
      <c r="Y209" s="85"/>
      <c r="Z209" s="26" t="s">
        <v>79</v>
      </c>
      <c r="AA209" s="25"/>
      <c r="AB209" s="26" t="s">
        <v>80</v>
      </c>
      <c r="AD209" s="23" t="s">
        <v>785</v>
      </c>
    </row>
    <row r="210" spans="2:30" ht="221.1">
      <c r="B210" s="21" t="s">
        <v>929</v>
      </c>
      <c r="C210" s="20"/>
      <c r="D210" s="21" t="s">
        <v>930</v>
      </c>
      <c r="E210" s="20"/>
      <c r="F210" s="23" t="s">
        <v>123</v>
      </c>
      <c r="H210" s="21" t="s">
        <v>914</v>
      </c>
      <c r="J210" s="21" t="s">
        <v>89</v>
      </c>
      <c r="L210" s="21" t="s">
        <v>737</v>
      </c>
      <c r="N210" s="21" t="s">
        <v>781</v>
      </c>
      <c r="P210" s="21" t="s">
        <v>931</v>
      </c>
      <c r="R210" s="64" t="s">
        <v>862</v>
      </c>
      <c r="S210" s="20"/>
      <c r="T210" s="76" t="s">
        <v>932</v>
      </c>
      <c r="U210" s="77"/>
      <c r="V210" s="26" t="s">
        <v>79</v>
      </c>
      <c r="W210" s="25"/>
      <c r="X210" s="26" t="s">
        <v>80</v>
      </c>
      <c r="Y210" s="85"/>
      <c r="Z210" s="26" t="s">
        <v>79</v>
      </c>
      <c r="AA210" s="25"/>
      <c r="AB210" s="26" t="s">
        <v>80</v>
      </c>
      <c r="AD210" s="23" t="s">
        <v>785</v>
      </c>
    </row>
    <row r="211" spans="2:30" ht="237.95">
      <c r="B211" s="21" t="s">
        <v>933</v>
      </c>
      <c r="C211" s="20"/>
      <c r="D211" s="21" t="s">
        <v>934</v>
      </c>
      <c r="E211" s="20"/>
      <c r="F211" s="23" t="s">
        <v>123</v>
      </c>
      <c r="H211" s="21" t="s">
        <v>914</v>
      </c>
      <c r="J211" s="21" t="s">
        <v>89</v>
      </c>
      <c r="L211" s="21" t="s">
        <v>737</v>
      </c>
      <c r="N211" s="21" t="s">
        <v>781</v>
      </c>
      <c r="P211" s="21" t="s">
        <v>935</v>
      </c>
      <c r="R211" s="64" t="s">
        <v>862</v>
      </c>
      <c r="S211" s="20"/>
      <c r="T211" s="76" t="s">
        <v>936</v>
      </c>
      <c r="U211" s="77"/>
      <c r="V211" s="26" t="s">
        <v>79</v>
      </c>
      <c r="W211" s="25"/>
      <c r="X211" s="26" t="s">
        <v>80</v>
      </c>
      <c r="Y211" s="85"/>
      <c r="Z211" s="26" t="s">
        <v>79</v>
      </c>
      <c r="AA211" s="25"/>
      <c r="AB211" s="26" t="s">
        <v>80</v>
      </c>
      <c r="AD211" s="23" t="s">
        <v>785</v>
      </c>
    </row>
    <row r="212" spans="2:30" ht="272.10000000000002">
      <c r="B212" s="21" t="s">
        <v>937</v>
      </c>
      <c r="C212" s="20"/>
      <c r="D212" s="21" t="s">
        <v>934</v>
      </c>
      <c r="E212" s="20"/>
      <c r="F212" s="23" t="s">
        <v>123</v>
      </c>
      <c r="H212" s="21" t="s">
        <v>914</v>
      </c>
      <c r="J212" s="21" t="s">
        <v>89</v>
      </c>
      <c r="L212" s="21" t="s">
        <v>737</v>
      </c>
      <c r="N212" s="21" t="s">
        <v>781</v>
      </c>
      <c r="P212" s="21" t="s">
        <v>938</v>
      </c>
      <c r="R212" s="64" t="s">
        <v>862</v>
      </c>
      <c r="S212" s="20"/>
      <c r="T212" s="76" t="s">
        <v>939</v>
      </c>
      <c r="U212" s="77"/>
      <c r="V212" s="26" t="s">
        <v>79</v>
      </c>
      <c r="W212" s="25"/>
      <c r="X212" s="26" t="s">
        <v>80</v>
      </c>
      <c r="Y212" s="85"/>
      <c r="Z212" s="26" t="s">
        <v>79</v>
      </c>
      <c r="AA212" s="25"/>
      <c r="AB212" s="26" t="s">
        <v>80</v>
      </c>
      <c r="AD212" s="23" t="s">
        <v>785</v>
      </c>
    </row>
    <row r="213" spans="2:30" ht="221.1">
      <c r="B213" s="21" t="s">
        <v>940</v>
      </c>
      <c r="C213" s="20"/>
      <c r="D213" s="21" t="s">
        <v>941</v>
      </c>
      <c r="E213" s="20"/>
      <c r="F213" s="23" t="s">
        <v>123</v>
      </c>
      <c r="H213" s="21" t="s">
        <v>914</v>
      </c>
      <c r="J213" s="21" t="s">
        <v>89</v>
      </c>
      <c r="L213" s="21" t="s">
        <v>737</v>
      </c>
      <c r="N213" s="21" t="s">
        <v>781</v>
      </c>
      <c r="P213" s="21" t="s">
        <v>942</v>
      </c>
      <c r="R213" s="64" t="s">
        <v>862</v>
      </c>
      <c r="S213" s="20"/>
      <c r="T213" s="76" t="s">
        <v>943</v>
      </c>
      <c r="U213" s="77"/>
      <c r="V213" s="26" t="s">
        <v>79</v>
      </c>
      <c r="W213" s="25"/>
      <c r="X213" s="26" t="s">
        <v>80</v>
      </c>
      <c r="Y213" s="85"/>
      <c r="Z213" s="26" t="s">
        <v>79</v>
      </c>
      <c r="AA213" s="25"/>
      <c r="AB213" s="26" t="s">
        <v>80</v>
      </c>
      <c r="AD213" s="23" t="s">
        <v>785</v>
      </c>
    </row>
    <row r="214" spans="2:30" ht="288.95">
      <c r="B214" s="21" t="s">
        <v>944</v>
      </c>
      <c r="C214" s="20"/>
      <c r="D214" s="21" t="s">
        <v>945</v>
      </c>
      <c r="E214" s="20"/>
      <c r="F214" s="23" t="s">
        <v>123</v>
      </c>
      <c r="H214" s="21" t="s">
        <v>914</v>
      </c>
      <c r="J214" s="21" t="s">
        <v>89</v>
      </c>
      <c r="L214" s="21" t="s">
        <v>737</v>
      </c>
      <c r="N214" s="21" t="s">
        <v>781</v>
      </c>
      <c r="P214" s="21" t="s">
        <v>946</v>
      </c>
      <c r="R214" s="64" t="s">
        <v>862</v>
      </c>
      <c r="S214" s="20"/>
      <c r="T214" s="76" t="s">
        <v>947</v>
      </c>
      <c r="U214" s="77"/>
      <c r="V214" s="26" t="s">
        <v>79</v>
      </c>
      <c r="W214" s="25"/>
      <c r="X214" s="26" t="s">
        <v>80</v>
      </c>
      <c r="Y214" s="85"/>
      <c r="Z214" s="26" t="s">
        <v>79</v>
      </c>
      <c r="AA214" s="25"/>
      <c r="AB214" s="26" t="s">
        <v>80</v>
      </c>
      <c r="AD214" s="23" t="s">
        <v>785</v>
      </c>
    </row>
    <row r="215" spans="2:30" ht="186.95">
      <c r="B215" s="21" t="s">
        <v>948</v>
      </c>
      <c r="C215" s="20"/>
      <c r="D215" s="21" t="s">
        <v>949</v>
      </c>
      <c r="E215" s="20"/>
      <c r="F215" s="23" t="s">
        <v>123</v>
      </c>
      <c r="H215" s="21" t="s">
        <v>914</v>
      </c>
      <c r="J215" s="21" t="s">
        <v>89</v>
      </c>
      <c r="L215" s="21" t="s">
        <v>737</v>
      </c>
      <c r="N215" s="21" t="s">
        <v>781</v>
      </c>
      <c r="P215" s="21" t="s">
        <v>950</v>
      </c>
      <c r="R215" s="64" t="s">
        <v>862</v>
      </c>
      <c r="S215" s="20"/>
      <c r="T215" s="76" t="s">
        <v>951</v>
      </c>
      <c r="U215" s="77"/>
      <c r="V215" s="26" t="s">
        <v>79</v>
      </c>
      <c r="W215" s="25"/>
      <c r="X215" s="26" t="s">
        <v>80</v>
      </c>
      <c r="Y215" s="85"/>
      <c r="Z215" s="26" t="s">
        <v>79</v>
      </c>
      <c r="AA215" s="25"/>
      <c r="AB215" s="26" t="s">
        <v>80</v>
      </c>
      <c r="AD215" s="23" t="s">
        <v>785</v>
      </c>
    </row>
    <row r="216" spans="2:30" ht="221.1">
      <c r="B216" s="21" t="s">
        <v>952</v>
      </c>
      <c r="C216" s="20"/>
      <c r="D216" s="21" t="s">
        <v>953</v>
      </c>
      <c r="E216" s="20"/>
      <c r="F216" s="23" t="s">
        <v>123</v>
      </c>
      <c r="H216" s="21" t="s">
        <v>914</v>
      </c>
      <c r="J216" s="21" t="s">
        <v>89</v>
      </c>
      <c r="L216" s="21" t="s">
        <v>737</v>
      </c>
      <c r="N216" s="21" t="s">
        <v>781</v>
      </c>
      <c r="P216" s="21" t="s">
        <v>954</v>
      </c>
      <c r="R216" s="64" t="s">
        <v>862</v>
      </c>
      <c r="S216" s="20"/>
      <c r="T216" s="76" t="s">
        <v>955</v>
      </c>
      <c r="U216" s="77"/>
      <c r="V216" s="26" t="s">
        <v>79</v>
      </c>
      <c r="W216" s="25"/>
      <c r="X216" s="26" t="s">
        <v>80</v>
      </c>
      <c r="Y216" s="85"/>
      <c r="Z216" s="26" t="s">
        <v>79</v>
      </c>
      <c r="AA216" s="25"/>
      <c r="AB216" s="26" t="s">
        <v>80</v>
      </c>
      <c r="AD216" s="23" t="s">
        <v>785</v>
      </c>
    </row>
    <row r="217" spans="2:30" ht="221.1">
      <c r="B217" s="21" t="s">
        <v>956</v>
      </c>
      <c r="C217" s="20"/>
      <c r="D217" s="21" t="s">
        <v>957</v>
      </c>
      <c r="E217" s="20"/>
      <c r="F217" s="23" t="s">
        <v>123</v>
      </c>
      <c r="H217" s="21" t="s">
        <v>914</v>
      </c>
      <c r="J217" s="21" t="s">
        <v>89</v>
      </c>
      <c r="L217" s="21" t="s">
        <v>737</v>
      </c>
      <c r="N217" s="21" t="s">
        <v>781</v>
      </c>
      <c r="P217" s="21" t="s">
        <v>958</v>
      </c>
      <c r="R217" s="64" t="s">
        <v>862</v>
      </c>
      <c r="S217" s="20"/>
      <c r="T217" s="76" t="s">
        <v>959</v>
      </c>
      <c r="U217" s="77"/>
      <c r="V217" s="26" t="s">
        <v>79</v>
      </c>
      <c r="W217" s="25"/>
      <c r="X217" s="26" t="s">
        <v>80</v>
      </c>
      <c r="Y217" s="85"/>
      <c r="Z217" s="26" t="s">
        <v>79</v>
      </c>
      <c r="AA217" s="25"/>
      <c r="AB217" s="26" t="s">
        <v>80</v>
      </c>
      <c r="AD217" s="23" t="s">
        <v>785</v>
      </c>
    </row>
    <row r="218" spans="2:30" ht="288.95">
      <c r="B218" s="21" t="s">
        <v>960</v>
      </c>
      <c r="C218" s="20"/>
      <c r="D218" s="21" t="s">
        <v>961</v>
      </c>
      <c r="E218" s="20"/>
      <c r="F218" s="23" t="s">
        <v>123</v>
      </c>
      <c r="H218" s="21" t="s">
        <v>914</v>
      </c>
      <c r="J218" s="21" t="s">
        <v>89</v>
      </c>
      <c r="L218" s="21" t="s">
        <v>737</v>
      </c>
      <c r="N218" s="21" t="s">
        <v>781</v>
      </c>
      <c r="P218" s="21" t="s">
        <v>962</v>
      </c>
      <c r="R218" s="64" t="s">
        <v>862</v>
      </c>
      <c r="S218" s="20"/>
      <c r="T218" s="76" t="s">
        <v>963</v>
      </c>
      <c r="U218" s="77"/>
      <c r="V218" s="26" t="s">
        <v>79</v>
      </c>
      <c r="W218" s="25"/>
      <c r="X218" s="26" t="s">
        <v>80</v>
      </c>
      <c r="Y218" s="85"/>
      <c r="Z218" s="26" t="s">
        <v>79</v>
      </c>
      <c r="AA218" s="25"/>
      <c r="AB218" s="26" t="s">
        <v>80</v>
      </c>
      <c r="AD218" s="23" t="s">
        <v>785</v>
      </c>
    </row>
    <row r="219" spans="2:30" ht="272.10000000000002">
      <c r="B219" s="21" t="s">
        <v>964</v>
      </c>
      <c r="C219" s="20"/>
      <c r="D219" s="21" t="s">
        <v>965</v>
      </c>
      <c r="E219" s="20"/>
      <c r="F219" s="23" t="s">
        <v>123</v>
      </c>
      <c r="H219" s="21" t="s">
        <v>914</v>
      </c>
      <c r="J219" s="21" t="s">
        <v>89</v>
      </c>
      <c r="L219" s="21" t="s">
        <v>737</v>
      </c>
      <c r="N219" s="21" t="s">
        <v>781</v>
      </c>
      <c r="P219" s="21" t="s">
        <v>966</v>
      </c>
      <c r="R219" s="64" t="s">
        <v>862</v>
      </c>
      <c r="S219" s="20"/>
      <c r="T219" s="76" t="s">
        <v>967</v>
      </c>
      <c r="U219" s="77"/>
      <c r="V219" s="26" t="s">
        <v>79</v>
      </c>
      <c r="W219" s="25"/>
      <c r="X219" s="26" t="s">
        <v>80</v>
      </c>
      <c r="Y219" s="85"/>
      <c r="Z219" s="26" t="s">
        <v>79</v>
      </c>
      <c r="AA219" s="25"/>
      <c r="AB219" s="26" t="s">
        <v>80</v>
      </c>
      <c r="AD219" s="23" t="s">
        <v>785</v>
      </c>
    </row>
    <row r="220" spans="2:30" ht="272.10000000000002">
      <c r="B220" s="21" t="s">
        <v>968</v>
      </c>
      <c r="C220" s="20"/>
      <c r="D220" s="21" t="s">
        <v>969</v>
      </c>
      <c r="E220" s="20"/>
      <c r="F220" s="23" t="s">
        <v>123</v>
      </c>
      <c r="H220" s="21" t="s">
        <v>914</v>
      </c>
      <c r="J220" s="21" t="s">
        <v>89</v>
      </c>
      <c r="L220" s="21" t="s">
        <v>737</v>
      </c>
      <c r="N220" s="21" t="s">
        <v>781</v>
      </c>
      <c r="P220" s="21" t="s">
        <v>970</v>
      </c>
      <c r="R220" s="64" t="s">
        <v>862</v>
      </c>
      <c r="S220" s="20"/>
      <c r="T220" s="76" t="s">
        <v>971</v>
      </c>
      <c r="U220" s="77"/>
      <c r="V220" s="26" t="s">
        <v>79</v>
      </c>
      <c r="W220" s="25"/>
      <c r="X220" s="26" t="s">
        <v>80</v>
      </c>
      <c r="Y220" s="85"/>
      <c r="Z220" s="26" t="s">
        <v>79</v>
      </c>
      <c r="AA220" s="25"/>
      <c r="AB220" s="26" t="s">
        <v>80</v>
      </c>
      <c r="AD220" s="23" t="s">
        <v>785</v>
      </c>
    </row>
    <row r="221" spans="2:30" ht="186.95">
      <c r="B221" s="21" t="s">
        <v>972</v>
      </c>
      <c r="C221" s="20"/>
      <c r="D221" s="21" t="s">
        <v>973</v>
      </c>
      <c r="E221" s="20"/>
      <c r="F221" s="23" t="s">
        <v>123</v>
      </c>
      <c r="H221" s="21" t="s">
        <v>914</v>
      </c>
      <c r="J221" s="21" t="s">
        <v>89</v>
      </c>
      <c r="L221" s="21" t="s">
        <v>737</v>
      </c>
      <c r="N221" s="21" t="s">
        <v>781</v>
      </c>
      <c r="P221" s="21" t="s">
        <v>974</v>
      </c>
      <c r="R221" s="64" t="s">
        <v>862</v>
      </c>
      <c r="S221" s="20"/>
      <c r="T221" s="76" t="s">
        <v>975</v>
      </c>
      <c r="U221" s="77"/>
      <c r="V221" s="26" t="s">
        <v>79</v>
      </c>
      <c r="W221" s="25"/>
      <c r="X221" s="26" t="s">
        <v>80</v>
      </c>
      <c r="Y221" s="85"/>
      <c r="Z221" s="26" t="s">
        <v>79</v>
      </c>
      <c r="AA221" s="25"/>
      <c r="AB221" s="26" t="s">
        <v>80</v>
      </c>
      <c r="AD221" s="23" t="s">
        <v>785</v>
      </c>
    </row>
    <row r="222" spans="2:30" ht="272.10000000000002">
      <c r="B222" s="21" t="s">
        <v>976</v>
      </c>
      <c r="C222" s="20"/>
      <c r="D222" s="21" t="s">
        <v>977</v>
      </c>
      <c r="E222" s="20"/>
      <c r="F222" s="23" t="s">
        <v>123</v>
      </c>
      <c r="H222" s="21" t="s">
        <v>914</v>
      </c>
      <c r="J222" s="21" t="s">
        <v>89</v>
      </c>
      <c r="L222" s="21" t="s">
        <v>737</v>
      </c>
      <c r="N222" s="21" t="s">
        <v>781</v>
      </c>
      <c r="P222" s="21" t="s">
        <v>978</v>
      </c>
      <c r="R222" s="64" t="s">
        <v>862</v>
      </c>
      <c r="S222" s="20"/>
      <c r="T222" s="76" t="s">
        <v>979</v>
      </c>
      <c r="U222" s="77"/>
      <c r="V222" s="26" t="s">
        <v>79</v>
      </c>
      <c r="W222" s="25"/>
      <c r="X222" s="26" t="s">
        <v>80</v>
      </c>
      <c r="Y222" s="85"/>
      <c r="Z222" s="26" t="s">
        <v>79</v>
      </c>
      <c r="AA222" s="25"/>
      <c r="AB222" s="26" t="s">
        <v>80</v>
      </c>
      <c r="AD222" s="23" t="s">
        <v>785</v>
      </c>
    </row>
    <row r="223" spans="2:30" ht="208.7" customHeight="1">
      <c r="B223" s="21" t="s">
        <v>980</v>
      </c>
      <c r="C223" s="20"/>
      <c r="D223" s="21" t="s">
        <v>981</v>
      </c>
      <c r="E223" s="20"/>
      <c r="F223" s="23" t="s">
        <v>71</v>
      </c>
      <c r="H223" s="21" t="s">
        <v>914</v>
      </c>
      <c r="J223" s="21" t="s">
        <v>89</v>
      </c>
      <c r="L223" s="21" t="s">
        <v>737</v>
      </c>
      <c r="N223" s="21" t="s">
        <v>781</v>
      </c>
      <c r="P223" s="21" t="s">
        <v>982</v>
      </c>
      <c r="R223" s="64" t="s">
        <v>862</v>
      </c>
      <c r="S223" s="20"/>
      <c r="T223" s="76" t="s">
        <v>983</v>
      </c>
      <c r="U223" s="77"/>
      <c r="V223" s="26" t="s">
        <v>79</v>
      </c>
      <c r="W223" s="25"/>
      <c r="X223" s="26" t="s">
        <v>80</v>
      </c>
      <c r="Y223" s="85"/>
      <c r="Z223" s="26" t="s">
        <v>79</v>
      </c>
      <c r="AA223" s="25"/>
      <c r="AB223" s="26" t="s">
        <v>80</v>
      </c>
      <c r="AD223" s="23" t="s">
        <v>785</v>
      </c>
    </row>
    <row r="224" spans="2:30" ht="220.7" customHeight="1">
      <c r="B224" s="21" t="s">
        <v>984</v>
      </c>
      <c r="C224" s="20"/>
      <c r="D224" s="21" t="s">
        <v>985</v>
      </c>
      <c r="E224" s="20"/>
      <c r="F224" s="23" t="s">
        <v>71</v>
      </c>
      <c r="H224" s="21" t="s">
        <v>986</v>
      </c>
      <c r="J224" s="21" t="s">
        <v>89</v>
      </c>
      <c r="L224" s="21" t="s">
        <v>737</v>
      </c>
      <c r="N224" s="21" t="s">
        <v>781</v>
      </c>
      <c r="P224" s="21" t="s">
        <v>987</v>
      </c>
      <c r="R224" s="64" t="s">
        <v>862</v>
      </c>
      <c r="S224" s="20"/>
      <c r="T224" s="76" t="s">
        <v>988</v>
      </c>
      <c r="U224" s="77"/>
      <c r="V224" s="26" t="s">
        <v>79</v>
      </c>
      <c r="W224" s="25"/>
      <c r="X224" s="26" t="s">
        <v>80</v>
      </c>
      <c r="Y224" s="85"/>
      <c r="Z224" s="26" t="s">
        <v>79</v>
      </c>
      <c r="AA224" s="25"/>
      <c r="AB224" s="26" t="s">
        <v>80</v>
      </c>
      <c r="AD224" s="23" t="s">
        <v>785</v>
      </c>
    </row>
    <row r="225" spans="2:30" ht="167.45" customHeight="1">
      <c r="B225" s="21" t="s">
        <v>989</v>
      </c>
      <c r="C225" s="20"/>
      <c r="D225" s="21" t="s">
        <v>990</v>
      </c>
      <c r="E225" s="20"/>
      <c r="F225" s="23" t="s">
        <v>71</v>
      </c>
      <c r="H225" s="21" t="s">
        <v>780</v>
      </c>
      <c r="J225" s="21" t="s">
        <v>89</v>
      </c>
      <c r="L225" s="21" t="s">
        <v>737</v>
      </c>
      <c r="N225" s="21" t="s">
        <v>781</v>
      </c>
      <c r="P225" s="21" t="s">
        <v>991</v>
      </c>
      <c r="R225" s="64" t="s">
        <v>862</v>
      </c>
      <c r="S225" s="20"/>
      <c r="T225" s="76" t="s">
        <v>992</v>
      </c>
      <c r="U225" s="77"/>
      <c r="V225" s="26" t="s">
        <v>79</v>
      </c>
      <c r="W225" s="25"/>
      <c r="X225" s="26" t="s">
        <v>80</v>
      </c>
      <c r="Y225" s="85"/>
      <c r="Z225" s="26" t="s">
        <v>79</v>
      </c>
      <c r="AA225" s="25"/>
      <c r="AB225" s="26" t="s">
        <v>80</v>
      </c>
      <c r="AD225" s="23" t="s">
        <v>785</v>
      </c>
    </row>
    <row r="226" spans="2:30" ht="275.45" customHeight="1">
      <c r="B226" s="21" t="s">
        <v>993</v>
      </c>
      <c r="C226" s="20"/>
      <c r="D226" s="21" t="s">
        <v>994</v>
      </c>
      <c r="E226" s="20"/>
      <c r="F226" s="23" t="s">
        <v>71</v>
      </c>
      <c r="H226" s="21" t="s">
        <v>780</v>
      </c>
      <c r="J226" s="21" t="s">
        <v>89</v>
      </c>
      <c r="L226" s="21" t="s">
        <v>737</v>
      </c>
      <c r="N226" s="21" t="s">
        <v>781</v>
      </c>
      <c r="P226" s="21" t="s">
        <v>995</v>
      </c>
      <c r="R226" s="64" t="s">
        <v>862</v>
      </c>
      <c r="S226" s="20"/>
      <c r="T226" s="76" t="s">
        <v>996</v>
      </c>
      <c r="U226" s="77"/>
      <c r="V226" s="26" t="s">
        <v>79</v>
      </c>
      <c r="W226" s="25"/>
      <c r="X226" s="26" t="s">
        <v>80</v>
      </c>
      <c r="Y226" s="85"/>
      <c r="Z226" s="26" t="s">
        <v>79</v>
      </c>
      <c r="AA226" s="25"/>
      <c r="AB226" s="26" t="s">
        <v>80</v>
      </c>
      <c r="AD226" s="23" t="s">
        <v>785</v>
      </c>
    </row>
    <row r="227" spans="2:30" ht="221.1">
      <c r="B227" s="21" t="s">
        <v>997</v>
      </c>
      <c r="C227" s="20" t="s">
        <v>998</v>
      </c>
      <c r="D227" s="21" t="s">
        <v>115</v>
      </c>
      <c r="E227" s="20" t="s">
        <v>998</v>
      </c>
      <c r="F227" s="23" t="s">
        <v>115</v>
      </c>
      <c r="G227" s="20" t="s">
        <v>998</v>
      </c>
      <c r="H227" s="21" t="s">
        <v>999</v>
      </c>
      <c r="I227" s="20" t="s">
        <v>998</v>
      </c>
      <c r="J227" s="21" t="s">
        <v>89</v>
      </c>
      <c r="K227" s="20" t="s">
        <v>998</v>
      </c>
      <c r="L227" s="21" t="s">
        <v>737</v>
      </c>
      <c r="M227" s="20" t="s">
        <v>998</v>
      </c>
      <c r="N227" s="21" t="s">
        <v>781</v>
      </c>
      <c r="O227" s="20" t="s">
        <v>998</v>
      </c>
      <c r="P227" s="21" t="s">
        <v>1000</v>
      </c>
      <c r="R227" s="64" t="s">
        <v>862</v>
      </c>
      <c r="S227" s="20" t="s">
        <v>998</v>
      </c>
      <c r="T227" s="76" t="s">
        <v>1001</v>
      </c>
      <c r="U227" s="77"/>
      <c r="V227" s="26" t="s">
        <v>79</v>
      </c>
      <c r="W227" s="25"/>
      <c r="X227" s="26" t="s">
        <v>80</v>
      </c>
      <c r="Y227" s="85"/>
      <c r="Z227" s="26" t="s">
        <v>79</v>
      </c>
      <c r="AA227" s="25"/>
      <c r="AB227" s="26" t="s">
        <v>80</v>
      </c>
      <c r="AD227" s="23" t="s">
        <v>785</v>
      </c>
    </row>
    <row r="228" spans="2:30" ht="339.95">
      <c r="B228" s="21" t="s">
        <v>1002</v>
      </c>
      <c r="C228" s="20" t="s">
        <v>998</v>
      </c>
      <c r="D228" s="21" t="s">
        <v>115</v>
      </c>
      <c r="E228" s="20"/>
      <c r="F228" s="23" t="s">
        <v>115</v>
      </c>
      <c r="G228" s="20" t="s">
        <v>998</v>
      </c>
      <c r="H228" s="21" t="s">
        <v>999</v>
      </c>
      <c r="I228" s="20" t="s">
        <v>998</v>
      </c>
      <c r="J228" s="21" t="s">
        <v>89</v>
      </c>
      <c r="K228" s="20" t="s">
        <v>998</v>
      </c>
      <c r="L228" s="21" t="s">
        <v>737</v>
      </c>
      <c r="M228" s="20" t="s">
        <v>998</v>
      </c>
      <c r="N228" s="21" t="s">
        <v>781</v>
      </c>
      <c r="O228" s="20" t="s">
        <v>998</v>
      </c>
      <c r="P228" s="21" t="s">
        <v>1003</v>
      </c>
      <c r="Q228" s="20" t="s">
        <v>998</v>
      </c>
      <c r="R228" s="64" t="s">
        <v>862</v>
      </c>
      <c r="S228" s="20" t="s">
        <v>998</v>
      </c>
      <c r="T228" s="76" t="s">
        <v>1004</v>
      </c>
      <c r="U228" s="77"/>
      <c r="V228" s="26" t="s">
        <v>79</v>
      </c>
      <c r="W228" s="25"/>
      <c r="X228" s="26" t="s">
        <v>80</v>
      </c>
      <c r="Y228" s="85"/>
      <c r="Z228" s="26" t="s">
        <v>79</v>
      </c>
      <c r="AA228" s="25"/>
      <c r="AB228" s="26" t="s">
        <v>80</v>
      </c>
      <c r="AD228" s="23" t="s">
        <v>785</v>
      </c>
    </row>
    <row r="229" spans="2:30" ht="323.10000000000002">
      <c r="B229" s="21" t="s">
        <v>1005</v>
      </c>
      <c r="C229" s="20" t="s">
        <v>998</v>
      </c>
      <c r="D229" s="21" t="s">
        <v>115</v>
      </c>
      <c r="E229" s="20" t="s">
        <v>998</v>
      </c>
      <c r="F229" s="23" t="s">
        <v>115</v>
      </c>
      <c r="G229" s="20" t="s">
        <v>998</v>
      </c>
      <c r="H229" s="21" t="s">
        <v>999</v>
      </c>
      <c r="I229" s="20" t="s">
        <v>998</v>
      </c>
      <c r="J229" s="21" t="s">
        <v>89</v>
      </c>
      <c r="K229" s="20" t="s">
        <v>998</v>
      </c>
      <c r="L229" s="21" t="s">
        <v>737</v>
      </c>
      <c r="M229" s="20" t="s">
        <v>998</v>
      </c>
      <c r="N229" s="21" t="s">
        <v>781</v>
      </c>
      <c r="O229" s="20" t="s">
        <v>998</v>
      </c>
      <c r="P229" s="21" t="s">
        <v>1006</v>
      </c>
      <c r="R229" s="64" t="s">
        <v>862</v>
      </c>
      <c r="S229" s="20" t="s">
        <v>998</v>
      </c>
      <c r="T229" s="76" t="s">
        <v>1007</v>
      </c>
      <c r="U229" s="77"/>
      <c r="V229" s="26" t="s">
        <v>79</v>
      </c>
      <c r="W229" s="25"/>
      <c r="X229" s="26" t="s">
        <v>80</v>
      </c>
      <c r="Y229" s="85"/>
      <c r="Z229" s="26" t="s">
        <v>79</v>
      </c>
      <c r="AA229" s="25"/>
      <c r="AB229" s="26" t="s">
        <v>80</v>
      </c>
      <c r="AD229" s="23" t="s">
        <v>785</v>
      </c>
    </row>
    <row r="230" spans="2:30" ht="404.1">
      <c r="B230" s="21" t="s">
        <v>1008</v>
      </c>
      <c r="C230" s="20" t="s">
        <v>998</v>
      </c>
      <c r="D230" s="21" t="s">
        <v>115</v>
      </c>
      <c r="E230" s="20" t="s">
        <v>998</v>
      </c>
      <c r="F230" s="23" t="s">
        <v>115</v>
      </c>
      <c r="G230" s="20" t="s">
        <v>998</v>
      </c>
      <c r="H230" s="21" t="s">
        <v>999</v>
      </c>
      <c r="I230" s="20" t="s">
        <v>998</v>
      </c>
      <c r="J230" s="21" t="s">
        <v>89</v>
      </c>
      <c r="K230" s="20" t="s">
        <v>998</v>
      </c>
      <c r="L230" s="21" t="s">
        <v>737</v>
      </c>
      <c r="M230" s="20" t="s">
        <v>998</v>
      </c>
      <c r="N230" s="21" t="s">
        <v>781</v>
      </c>
      <c r="O230" s="20" t="s">
        <v>998</v>
      </c>
      <c r="P230" s="21" t="s">
        <v>1009</v>
      </c>
      <c r="R230" s="64" t="s">
        <v>862</v>
      </c>
      <c r="S230" s="20" t="s">
        <v>998</v>
      </c>
      <c r="T230" s="76" t="s">
        <v>1010</v>
      </c>
      <c r="U230" s="77"/>
      <c r="V230" s="26" t="s">
        <v>79</v>
      </c>
      <c r="W230" s="25"/>
      <c r="X230" s="26" t="s">
        <v>80</v>
      </c>
      <c r="Y230" s="85"/>
      <c r="Z230" s="26" t="s">
        <v>79</v>
      </c>
      <c r="AA230" s="25"/>
      <c r="AB230" s="26" t="s">
        <v>80</v>
      </c>
      <c r="AD230" s="23" t="s">
        <v>785</v>
      </c>
    </row>
    <row r="231" spans="2:30" ht="404.1">
      <c r="B231" s="21" t="s">
        <v>1011</v>
      </c>
      <c r="C231" s="20" t="s">
        <v>998</v>
      </c>
      <c r="D231" s="21" t="s">
        <v>1012</v>
      </c>
      <c r="E231" s="20" t="s">
        <v>998</v>
      </c>
      <c r="F231" s="23" t="s">
        <v>254</v>
      </c>
      <c r="G231" s="20" t="s">
        <v>998</v>
      </c>
      <c r="H231" s="21" t="s">
        <v>780</v>
      </c>
      <c r="I231" s="20" t="s">
        <v>998</v>
      </c>
      <c r="J231" s="21" t="s">
        <v>89</v>
      </c>
      <c r="K231" s="20" t="s">
        <v>998</v>
      </c>
      <c r="L231" s="21" t="s">
        <v>737</v>
      </c>
      <c r="M231" s="20" t="s">
        <v>998</v>
      </c>
      <c r="N231" s="21" t="s">
        <v>781</v>
      </c>
      <c r="O231" s="20" t="s">
        <v>998</v>
      </c>
      <c r="P231" s="21" t="s">
        <v>1013</v>
      </c>
      <c r="Q231" s="20" t="s">
        <v>998</v>
      </c>
      <c r="R231" s="64" t="s">
        <v>862</v>
      </c>
      <c r="S231" s="20" t="s">
        <v>998</v>
      </c>
      <c r="T231" s="76" t="s">
        <v>1014</v>
      </c>
      <c r="U231" s="77"/>
      <c r="V231" s="26" t="s">
        <v>79</v>
      </c>
      <c r="W231" s="25"/>
      <c r="X231" s="26" t="s">
        <v>80</v>
      </c>
      <c r="Y231" s="85"/>
      <c r="Z231" s="26" t="s">
        <v>79</v>
      </c>
      <c r="AA231" s="25"/>
      <c r="AB231" s="26" t="s">
        <v>80</v>
      </c>
      <c r="AD231" s="23" t="s">
        <v>785</v>
      </c>
    </row>
    <row r="232" spans="2:30" ht="339.95">
      <c r="B232" s="21" t="s">
        <v>1015</v>
      </c>
      <c r="C232" s="20" t="s">
        <v>998</v>
      </c>
      <c r="D232" s="21" t="s">
        <v>1016</v>
      </c>
      <c r="E232" s="20" t="s">
        <v>998</v>
      </c>
      <c r="F232" s="23" t="s">
        <v>254</v>
      </c>
      <c r="G232" s="20" t="s">
        <v>998</v>
      </c>
      <c r="H232" s="21" t="s">
        <v>780</v>
      </c>
      <c r="I232" s="20" t="s">
        <v>998</v>
      </c>
      <c r="J232" s="21" t="s">
        <v>89</v>
      </c>
      <c r="K232" s="20" t="s">
        <v>998</v>
      </c>
      <c r="L232" s="21" t="s">
        <v>737</v>
      </c>
      <c r="M232" s="20" t="s">
        <v>998</v>
      </c>
      <c r="N232" s="21" t="s">
        <v>781</v>
      </c>
      <c r="O232" s="20" t="s">
        <v>998</v>
      </c>
      <c r="P232" s="21" t="s">
        <v>1017</v>
      </c>
      <c r="Q232" s="20" t="s">
        <v>998</v>
      </c>
      <c r="R232" s="64" t="s">
        <v>862</v>
      </c>
      <c r="S232" s="20" t="s">
        <v>998</v>
      </c>
      <c r="T232" s="76" t="s">
        <v>1018</v>
      </c>
      <c r="U232" s="77"/>
      <c r="V232" s="26" t="s">
        <v>79</v>
      </c>
      <c r="W232" s="25"/>
      <c r="X232" s="26" t="s">
        <v>80</v>
      </c>
      <c r="Y232" s="85"/>
      <c r="Z232" s="26" t="s">
        <v>79</v>
      </c>
      <c r="AA232" s="25"/>
      <c r="AB232" s="26" t="s">
        <v>80</v>
      </c>
      <c r="AD232" s="23" t="s">
        <v>785</v>
      </c>
    </row>
    <row r="233" spans="2:30" ht="404.1">
      <c r="B233" s="21" t="s">
        <v>1019</v>
      </c>
      <c r="C233" s="20" t="s">
        <v>998</v>
      </c>
      <c r="D233" s="21" t="s">
        <v>1020</v>
      </c>
      <c r="E233" s="20" t="s">
        <v>998</v>
      </c>
      <c r="F233" s="23" t="s">
        <v>254</v>
      </c>
      <c r="G233" s="20" t="s">
        <v>998</v>
      </c>
      <c r="H233" s="21" t="s">
        <v>780</v>
      </c>
      <c r="I233" s="20" t="s">
        <v>998</v>
      </c>
      <c r="J233" s="21" t="s">
        <v>89</v>
      </c>
      <c r="K233" s="20" t="s">
        <v>998</v>
      </c>
      <c r="L233" s="21" t="s">
        <v>737</v>
      </c>
      <c r="M233" s="20" t="s">
        <v>998</v>
      </c>
      <c r="N233" s="21" t="s">
        <v>781</v>
      </c>
      <c r="O233" s="20" t="s">
        <v>998</v>
      </c>
      <c r="P233" s="21" t="s">
        <v>1021</v>
      </c>
      <c r="Q233" s="20" t="s">
        <v>998</v>
      </c>
      <c r="R233" s="64" t="s">
        <v>862</v>
      </c>
      <c r="S233" s="20" t="s">
        <v>998</v>
      </c>
      <c r="T233" s="76" t="s">
        <v>1022</v>
      </c>
      <c r="U233" s="77"/>
      <c r="V233" s="26" t="s">
        <v>79</v>
      </c>
      <c r="W233" s="25"/>
      <c r="X233" s="26" t="s">
        <v>80</v>
      </c>
      <c r="Y233" s="85"/>
      <c r="Z233" s="26" t="s">
        <v>79</v>
      </c>
      <c r="AA233" s="25"/>
      <c r="AB233" s="26" t="s">
        <v>80</v>
      </c>
      <c r="AD233" s="23" t="s">
        <v>785</v>
      </c>
    </row>
    <row r="234" spans="2:30" ht="409.6">
      <c r="B234" s="21" t="s">
        <v>1023</v>
      </c>
      <c r="C234" s="20" t="s">
        <v>998</v>
      </c>
      <c r="D234" s="21" t="s">
        <v>1024</v>
      </c>
      <c r="E234" s="20" t="s">
        <v>998</v>
      </c>
      <c r="F234" s="23" t="s">
        <v>254</v>
      </c>
      <c r="G234" s="20" t="s">
        <v>998</v>
      </c>
      <c r="H234" s="21" t="s">
        <v>780</v>
      </c>
      <c r="I234" s="20" t="s">
        <v>998</v>
      </c>
      <c r="J234" s="21" t="s">
        <v>89</v>
      </c>
      <c r="K234" s="20" t="s">
        <v>998</v>
      </c>
      <c r="L234" s="21" t="s">
        <v>737</v>
      </c>
      <c r="M234" s="20" t="s">
        <v>998</v>
      </c>
      <c r="N234" s="21" t="s">
        <v>781</v>
      </c>
      <c r="O234" s="20" t="s">
        <v>998</v>
      </c>
      <c r="P234" s="21" t="s">
        <v>1025</v>
      </c>
      <c r="Q234" s="20" t="s">
        <v>998</v>
      </c>
      <c r="R234" s="64" t="s">
        <v>862</v>
      </c>
      <c r="S234" s="20" t="s">
        <v>998</v>
      </c>
      <c r="T234" s="76" t="s">
        <v>1026</v>
      </c>
      <c r="U234" s="77"/>
      <c r="V234" s="26" t="s">
        <v>79</v>
      </c>
      <c r="W234" s="25"/>
      <c r="X234" s="26" t="s">
        <v>80</v>
      </c>
      <c r="Y234" s="85"/>
      <c r="Z234" s="26" t="s">
        <v>79</v>
      </c>
      <c r="AA234" s="25"/>
      <c r="AB234" s="26" t="s">
        <v>80</v>
      </c>
      <c r="AD234" s="23" t="s">
        <v>785</v>
      </c>
    </row>
    <row r="235" spans="2:30" ht="409.6">
      <c r="B235" s="21" t="s">
        <v>1027</v>
      </c>
      <c r="C235" s="20" t="s">
        <v>998</v>
      </c>
      <c r="D235" s="21" t="s">
        <v>1028</v>
      </c>
      <c r="E235" s="20" t="s">
        <v>998</v>
      </c>
      <c r="F235" s="23" t="s">
        <v>254</v>
      </c>
      <c r="G235" s="20" t="s">
        <v>998</v>
      </c>
      <c r="H235" s="21" t="s">
        <v>780</v>
      </c>
      <c r="I235" s="20" t="s">
        <v>998</v>
      </c>
      <c r="J235" s="21" t="s">
        <v>89</v>
      </c>
      <c r="K235" s="20" t="s">
        <v>998</v>
      </c>
      <c r="L235" s="21" t="s">
        <v>737</v>
      </c>
      <c r="M235" s="20" t="s">
        <v>998</v>
      </c>
      <c r="N235" s="21" t="s">
        <v>781</v>
      </c>
      <c r="O235" s="20" t="s">
        <v>998</v>
      </c>
      <c r="P235" s="21" t="s">
        <v>1029</v>
      </c>
      <c r="Q235" s="20" t="s">
        <v>998</v>
      </c>
      <c r="R235" s="64" t="s">
        <v>862</v>
      </c>
      <c r="S235" s="20" t="s">
        <v>998</v>
      </c>
      <c r="T235" s="76" t="s">
        <v>1030</v>
      </c>
      <c r="U235" s="77"/>
      <c r="V235" s="26" t="s">
        <v>79</v>
      </c>
      <c r="W235" s="25"/>
      <c r="X235" s="26" t="s">
        <v>80</v>
      </c>
      <c r="Y235" s="85"/>
      <c r="Z235" s="26" t="s">
        <v>79</v>
      </c>
      <c r="AA235" s="25"/>
      <c r="AB235" s="26" t="s">
        <v>80</v>
      </c>
      <c r="AD235" s="23" t="s">
        <v>785</v>
      </c>
    </row>
    <row r="236" spans="2:30" ht="409.6">
      <c r="B236" s="21" t="s">
        <v>1031</v>
      </c>
      <c r="C236" s="20" t="s">
        <v>998</v>
      </c>
      <c r="D236" s="21" t="s">
        <v>1032</v>
      </c>
      <c r="E236" s="20"/>
      <c r="F236" s="23" t="s">
        <v>254</v>
      </c>
      <c r="G236" s="20" t="s">
        <v>998</v>
      </c>
      <c r="H236" s="21" t="s">
        <v>780</v>
      </c>
      <c r="I236" s="20" t="s">
        <v>998</v>
      </c>
      <c r="J236" s="21" t="s">
        <v>89</v>
      </c>
      <c r="K236" s="20" t="s">
        <v>998</v>
      </c>
      <c r="L236" s="21" t="s">
        <v>737</v>
      </c>
      <c r="M236" s="20" t="s">
        <v>998</v>
      </c>
      <c r="N236" s="21" t="s">
        <v>781</v>
      </c>
      <c r="O236" s="20" t="s">
        <v>998</v>
      </c>
      <c r="P236" s="21" t="s">
        <v>1033</v>
      </c>
      <c r="R236" s="64" t="s">
        <v>862</v>
      </c>
      <c r="S236" s="20" t="s">
        <v>998</v>
      </c>
      <c r="T236" s="76" t="s">
        <v>1034</v>
      </c>
      <c r="U236" s="77"/>
      <c r="V236" s="26" t="s">
        <v>79</v>
      </c>
      <c r="W236" s="25"/>
      <c r="X236" s="26" t="s">
        <v>80</v>
      </c>
      <c r="Y236" s="85"/>
      <c r="Z236" s="26" t="s">
        <v>79</v>
      </c>
      <c r="AA236" s="25"/>
      <c r="AB236" s="26" t="s">
        <v>80</v>
      </c>
      <c r="AD236" s="23" t="s">
        <v>785</v>
      </c>
    </row>
    <row r="237" spans="2:30" ht="372">
      <c r="B237" s="21" t="s">
        <v>1035</v>
      </c>
      <c r="C237" s="20" t="s">
        <v>998</v>
      </c>
      <c r="D237" s="21" t="s">
        <v>1036</v>
      </c>
      <c r="E237" s="20" t="s">
        <v>998</v>
      </c>
      <c r="F237" s="23" t="s">
        <v>254</v>
      </c>
      <c r="G237" s="20" t="s">
        <v>998</v>
      </c>
      <c r="H237" s="21" t="s">
        <v>780</v>
      </c>
      <c r="I237" s="20" t="s">
        <v>998</v>
      </c>
      <c r="J237" s="21" t="s">
        <v>89</v>
      </c>
      <c r="K237" s="20" t="s">
        <v>998</v>
      </c>
      <c r="L237" s="21" t="s">
        <v>737</v>
      </c>
      <c r="M237" s="20" t="s">
        <v>998</v>
      </c>
      <c r="N237" s="21" t="s">
        <v>781</v>
      </c>
      <c r="O237" s="20" t="s">
        <v>998</v>
      </c>
      <c r="P237" s="21" t="s">
        <v>1037</v>
      </c>
      <c r="Q237" s="20" t="s">
        <v>998</v>
      </c>
      <c r="R237" s="64" t="s">
        <v>862</v>
      </c>
      <c r="S237" s="20" t="s">
        <v>998</v>
      </c>
      <c r="T237" s="76" t="s">
        <v>1038</v>
      </c>
      <c r="U237" s="77"/>
      <c r="V237" s="26" t="s">
        <v>79</v>
      </c>
      <c r="W237" s="25"/>
      <c r="X237" s="26" t="s">
        <v>80</v>
      </c>
      <c r="Y237" s="85"/>
      <c r="Z237" s="26" t="s">
        <v>79</v>
      </c>
      <c r="AA237" s="25"/>
      <c r="AB237" s="26" t="s">
        <v>80</v>
      </c>
      <c r="AD237" s="23" t="s">
        <v>785</v>
      </c>
    </row>
    <row r="238" spans="2:30" ht="356.1">
      <c r="B238" s="21" t="s">
        <v>1039</v>
      </c>
      <c r="C238" s="20" t="s">
        <v>998</v>
      </c>
      <c r="D238" s="21" t="s">
        <v>261</v>
      </c>
      <c r="E238" s="20" t="s">
        <v>998</v>
      </c>
      <c r="F238" s="23" t="s">
        <v>254</v>
      </c>
      <c r="G238" s="20" t="s">
        <v>998</v>
      </c>
      <c r="H238" s="21" t="s">
        <v>780</v>
      </c>
      <c r="I238" s="20" t="s">
        <v>998</v>
      </c>
      <c r="J238" s="21" t="s">
        <v>89</v>
      </c>
      <c r="K238" s="20" t="s">
        <v>998</v>
      </c>
      <c r="L238" s="21" t="s">
        <v>737</v>
      </c>
      <c r="M238" s="20" t="s">
        <v>998</v>
      </c>
      <c r="N238" s="21" t="s">
        <v>781</v>
      </c>
      <c r="O238" s="20" t="s">
        <v>998</v>
      </c>
      <c r="P238" s="21" t="s">
        <v>1040</v>
      </c>
      <c r="Q238" s="20" t="s">
        <v>998</v>
      </c>
      <c r="R238" s="64" t="s">
        <v>862</v>
      </c>
      <c r="S238" s="20" t="s">
        <v>998</v>
      </c>
      <c r="T238" s="76" t="s">
        <v>1041</v>
      </c>
      <c r="U238" s="77"/>
      <c r="V238" s="26" t="s">
        <v>79</v>
      </c>
      <c r="W238" s="25"/>
      <c r="X238" s="26" t="s">
        <v>80</v>
      </c>
      <c r="Y238" s="85"/>
      <c r="Z238" s="26" t="s">
        <v>79</v>
      </c>
      <c r="AA238" s="25"/>
      <c r="AB238" s="26" t="s">
        <v>80</v>
      </c>
      <c r="AD238" s="23" t="s">
        <v>785</v>
      </c>
    </row>
    <row r="239" spans="2:30" ht="409.6">
      <c r="B239" s="21" t="s">
        <v>1042</v>
      </c>
      <c r="C239" s="20" t="s">
        <v>998</v>
      </c>
      <c r="D239" s="21" t="s">
        <v>1043</v>
      </c>
      <c r="E239" s="20" t="s">
        <v>998</v>
      </c>
      <c r="F239" s="23" t="s">
        <v>254</v>
      </c>
      <c r="G239" s="20" t="s">
        <v>998</v>
      </c>
      <c r="H239" s="21" t="s">
        <v>780</v>
      </c>
      <c r="I239" s="20" t="s">
        <v>998</v>
      </c>
      <c r="J239" s="21" t="s">
        <v>89</v>
      </c>
      <c r="K239" s="20" t="s">
        <v>998</v>
      </c>
      <c r="L239" s="21" t="s">
        <v>737</v>
      </c>
      <c r="M239" s="20" t="s">
        <v>998</v>
      </c>
      <c r="N239" s="21" t="s">
        <v>781</v>
      </c>
      <c r="O239" s="20" t="s">
        <v>998</v>
      </c>
      <c r="P239" s="21" t="s">
        <v>1044</v>
      </c>
      <c r="Q239" s="20" t="s">
        <v>998</v>
      </c>
      <c r="R239" s="64" t="s">
        <v>862</v>
      </c>
      <c r="S239" s="20" t="s">
        <v>998</v>
      </c>
      <c r="T239" s="76" t="s">
        <v>1045</v>
      </c>
      <c r="U239" s="77"/>
      <c r="V239" s="26" t="s">
        <v>79</v>
      </c>
      <c r="W239" s="25"/>
      <c r="X239" s="26" t="s">
        <v>80</v>
      </c>
      <c r="Y239" s="85"/>
      <c r="Z239" s="26" t="s">
        <v>79</v>
      </c>
      <c r="AA239" s="25"/>
      <c r="AB239" s="26" t="s">
        <v>80</v>
      </c>
      <c r="AD239" s="23" t="s">
        <v>785</v>
      </c>
    </row>
    <row r="240" spans="2:30" ht="237.95">
      <c r="B240" s="21" t="s">
        <v>1046</v>
      </c>
      <c r="C240" s="20" t="s">
        <v>998</v>
      </c>
      <c r="D240" s="21" t="s">
        <v>1047</v>
      </c>
      <c r="E240" s="20" t="s">
        <v>998</v>
      </c>
      <c r="F240" s="23" t="s">
        <v>254</v>
      </c>
      <c r="G240" s="20" t="s">
        <v>998</v>
      </c>
      <c r="H240" s="21" t="s">
        <v>780</v>
      </c>
      <c r="I240" s="20" t="s">
        <v>998</v>
      </c>
      <c r="J240" s="21" t="s">
        <v>89</v>
      </c>
      <c r="K240" s="20" t="s">
        <v>998</v>
      </c>
      <c r="L240" s="21" t="s">
        <v>737</v>
      </c>
      <c r="M240" s="20" t="s">
        <v>998</v>
      </c>
      <c r="N240" s="21" t="s">
        <v>781</v>
      </c>
      <c r="O240" s="20" t="s">
        <v>998</v>
      </c>
      <c r="P240" s="21" t="s">
        <v>1048</v>
      </c>
      <c r="Q240" s="20" t="s">
        <v>998</v>
      </c>
      <c r="R240" s="64" t="s">
        <v>862</v>
      </c>
      <c r="S240" s="20" t="s">
        <v>998</v>
      </c>
      <c r="T240" s="76" t="s">
        <v>1049</v>
      </c>
      <c r="U240" s="77"/>
      <c r="V240" s="26" t="s">
        <v>79</v>
      </c>
      <c r="W240" s="25"/>
      <c r="X240" s="26" t="s">
        <v>80</v>
      </c>
      <c r="Y240" s="85"/>
      <c r="Z240" s="26" t="s">
        <v>79</v>
      </c>
      <c r="AA240" s="25"/>
      <c r="AB240" s="26" t="s">
        <v>80</v>
      </c>
      <c r="AD240" s="23" t="s">
        <v>785</v>
      </c>
    </row>
    <row r="241" spans="1:30" ht="186.95">
      <c r="B241" s="21" t="s">
        <v>1050</v>
      </c>
      <c r="C241" s="20" t="s">
        <v>998</v>
      </c>
      <c r="D241" s="21" t="s">
        <v>1051</v>
      </c>
      <c r="E241" s="20" t="s">
        <v>998</v>
      </c>
      <c r="F241" s="23" t="s">
        <v>254</v>
      </c>
      <c r="G241" s="20" t="s">
        <v>998</v>
      </c>
      <c r="H241" s="21" t="s">
        <v>780</v>
      </c>
      <c r="I241" s="20" t="s">
        <v>998</v>
      </c>
      <c r="J241" s="21" t="s">
        <v>89</v>
      </c>
      <c r="K241" s="20" t="s">
        <v>998</v>
      </c>
      <c r="L241" s="21" t="s">
        <v>737</v>
      </c>
      <c r="M241" s="20" t="s">
        <v>998</v>
      </c>
      <c r="N241" s="21" t="s">
        <v>781</v>
      </c>
      <c r="O241" s="20" t="s">
        <v>998</v>
      </c>
      <c r="P241" s="21" t="s">
        <v>1052</v>
      </c>
      <c r="Q241" s="20" t="s">
        <v>998</v>
      </c>
      <c r="R241" s="64" t="s">
        <v>862</v>
      </c>
      <c r="S241" s="20" t="s">
        <v>998</v>
      </c>
      <c r="T241" s="76" t="s">
        <v>1053</v>
      </c>
      <c r="U241" s="77"/>
      <c r="V241" s="26" t="s">
        <v>79</v>
      </c>
      <c r="W241" s="25"/>
      <c r="X241" s="26" t="s">
        <v>80</v>
      </c>
      <c r="Y241" s="85"/>
      <c r="Z241" s="26" t="s">
        <v>79</v>
      </c>
      <c r="AA241" s="25"/>
      <c r="AB241" s="26" t="s">
        <v>80</v>
      </c>
      <c r="AD241" s="23" t="s">
        <v>785</v>
      </c>
    </row>
    <row r="242" spans="1:30" ht="204">
      <c r="B242" s="21" t="s">
        <v>1054</v>
      </c>
      <c r="C242" s="20" t="s">
        <v>998</v>
      </c>
      <c r="D242" s="21" t="s">
        <v>1055</v>
      </c>
      <c r="E242" s="20" t="s">
        <v>998</v>
      </c>
      <c r="F242" s="23" t="s">
        <v>658</v>
      </c>
      <c r="G242" s="20" t="s">
        <v>998</v>
      </c>
      <c r="H242" s="21" t="s">
        <v>914</v>
      </c>
      <c r="I242" s="20" t="s">
        <v>998</v>
      </c>
      <c r="J242" s="21" t="s">
        <v>89</v>
      </c>
      <c r="K242" s="20" t="s">
        <v>998</v>
      </c>
      <c r="L242" s="21" t="s">
        <v>737</v>
      </c>
      <c r="M242" s="20" t="s">
        <v>998</v>
      </c>
      <c r="N242" s="21" t="s">
        <v>781</v>
      </c>
      <c r="O242" s="20" t="s">
        <v>998</v>
      </c>
      <c r="P242" s="21" t="s">
        <v>1056</v>
      </c>
      <c r="Q242" s="20" t="s">
        <v>998</v>
      </c>
      <c r="R242" s="64" t="s">
        <v>862</v>
      </c>
      <c r="S242" s="20" t="s">
        <v>998</v>
      </c>
      <c r="T242" s="76" t="s">
        <v>1057</v>
      </c>
      <c r="U242" s="77"/>
      <c r="V242" s="26" t="s">
        <v>79</v>
      </c>
      <c r="W242" s="25"/>
      <c r="X242" s="26" t="s">
        <v>80</v>
      </c>
      <c r="Y242" s="85"/>
      <c r="Z242" s="26" t="s">
        <v>79</v>
      </c>
      <c r="AA242" s="25"/>
      <c r="AB242" s="26" t="s">
        <v>80</v>
      </c>
      <c r="AD242" s="23" t="s">
        <v>785</v>
      </c>
    </row>
    <row r="243" spans="1:30" ht="246.6" customHeight="1">
      <c r="B243" s="21" t="s">
        <v>1058</v>
      </c>
      <c r="C243" s="20" t="s">
        <v>998</v>
      </c>
      <c r="D243" s="21" t="s">
        <v>1059</v>
      </c>
      <c r="E243" s="20" t="s">
        <v>998</v>
      </c>
      <c r="F243" s="23" t="s">
        <v>71</v>
      </c>
      <c r="G243" s="20" t="s">
        <v>998</v>
      </c>
      <c r="H243" s="21" t="s">
        <v>780</v>
      </c>
      <c r="I243" s="20" t="s">
        <v>998</v>
      </c>
      <c r="J243" s="21" t="s">
        <v>89</v>
      </c>
      <c r="K243" s="20" t="s">
        <v>998</v>
      </c>
      <c r="L243" s="21" t="s">
        <v>737</v>
      </c>
      <c r="M243" s="20" t="s">
        <v>998</v>
      </c>
      <c r="N243" s="21" t="s">
        <v>781</v>
      </c>
      <c r="O243" s="20" t="s">
        <v>998</v>
      </c>
      <c r="P243" s="21" t="s">
        <v>1060</v>
      </c>
      <c r="Q243" s="20" t="s">
        <v>998</v>
      </c>
      <c r="R243" s="64" t="s">
        <v>862</v>
      </c>
      <c r="S243" s="20" t="s">
        <v>998</v>
      </c>
      <c r="T243" s="76" t="s">
        <v>1061</v>
      </c>
      <c r="U243" s="77"/>
      <c r="V243" s="26" t="s">
        <v>79</v>
      </c>
      <c r="W243" s="25"/>
      <c r="X243" s="26" t="s">
        <v>80</v>
      </c>
      <c r="Y243" s="85"/>
      <c r="Z243" s="26" t="s">
        <v>79</v>
      </c>
      <c r="AA243" s="25"/>
      <c r="AB243" s="26" t="s">
        <v>80</v>
      </c>
      <c r="AD243" s="23" t="s">
        <v>785</v>
      </c>
    </row>
    <row r="244" spans="1:30" ht="222.6" customHeight="1">
      <c r="B244" s="21" t="s">
        <v>1062</v>
      </c>
      <c r="C244" s="20" t="s">
        <v>998</v>
      </c>
      <c r="D244" s="21" t="s">
        <v>1063</v>
      </c>
      <c r="E244" s="20" t="s">
        <v>998</v>
      </c>
      <c r="F244" s="23" t="s">
        <v>71</v>
      </c>
      <c r="G244" s="20" t="s">
        <v>998</v>
      </c>
      <c r="H244" s="21" t="s">
        <v>780</v>
      </c>
      <c r="I244" s="20" t="s">
        <v>998</v>
      </c>
      <c r="J244" s="21" t="s">
        <v>89</v>
      </c>
      <c r="K244" s="20" t="s">
        <v>998</v>
      </c>
      <c r="L244" s="21" t="s">
        <v>737</v>
      </c>
      <c r="M244" s="20" t="s">
        <v>998</v>
      </c>
      <c r="N244" s="21" t="s">
        <v>781</v>
      </c>
      <c r="O244" s="20" t="s">
        <v>998</v>
      </c>
      <c r="P244" s="21" t="s">
        <v>1064</v>
      </c>
      <c r="Q244" s="20" t="s">
        <v>998</v>
      </c>
      <c r="R244" s="64" t="s">
        <v>862</v>
      </c>
      <c r="S244" s="20" t="s">
        <v>998</v>
      </c>
      <c r="T244" s="76" t="s">
        <v>1065</v>
      </c>
      <c r="U244" s="77"/>
      <c r="V244" s="26" t="s">
        <v>79</v>
      </c>
      <c r="W244" s="25"/>
      <c r="X244" s="26" t="s">
        <v>80</v>
      </c>
      <c r="Y244" s="85"/>
      <c r="Z244" s="26" t="s">
        <v>79</v>
      </c>
      <c r="AA244" s="25"/>
      <c r="AB244" s="26" t="s">
        <v>80</v>
      </c>
      <c r="AD244" s="23" t="s">
        <v>785</v>
      </c>
    </row>
    <row r="245" spans="1:30" ht="237" customHeight="1">
      <c r="B245" s="21" t="s">
        <v>1066</v>
      </c>
      <c r="C245" s="20" t="s">
        <v>998</v>
      </c>
      <c r="D245" s="21" t="s">
        <v>1067</v>
      </c>
      <c r="E245" s="20" t="s">
        <v>998</v>
      </c>
      <c r="F245" s="23" t="s">
        <v>71</v>
      </c>
      <c r="G245" s="20" t="s">
        <v>998</v>
      </c>
      <c r="H245" s="21" t="s">
        <v>780</v>
      </c>
      <c r="I245" s="20" t="s">
        <v>998</v>
      </c>
      <c r="J245" s="21" t="s">
        <v>89</v>
      </c>
      <c r="K245" s="20" t="s">
        <v>998</v>
      </c>
      <c r="L245" s="21" t="s">
        <v>737</v>
      </c>
      <c r="M245" s="20" t="s">
        <v>998</v>
      </c>
      <c r="N245" s="21" t="s">
        <v>781</v>
      </c>
      <c r="O245" s="20" t="s">
        <v>998</v>
      </c>
      <c r="P245" s="21" t="s">
        <v>1068</v>
      </c>
      <c r="R245" s="64" t="s">
        <v>862</v>
      </c>
      <c r="S245" s="20" t="s">
        <v>998</v>
      </c>
      <c r="T245" s="76" t="s">
        <v>1069</v>
      </c>
      <c r="U245" s="77"/>
      <c r="V245" s="26" t="s">
        <v>79</v>
      </c>
      <c r="W245" s="25"/>
      <c r="X245" s="26" t="s">
        <v>80</v>
      </c>
      <c r="Y245" s="85"/>
      <c r="Z245" s="26" t="s">
        <v>79</v>
      </c>
      <c r="AA245" s="25"/>
      <c r="AB245" s="26" t="s">
        <v>80</v>
      </c>
      <c r="AD245" s="23" t="s">
        <v>785</v>
      </c>
    </row>
    <row r="246" spans="1:30" ht="199.7" customHeight="1">
      <c r="B246" s="21" t="s">
        <v>1070</v>
      </c>
      <c r="C246" s="20" t="s">
        <v>998</v>
      </c>
      <c r="D246" s="21" t="s">
        <v>1071</v>
      </c>
      <c r="E246" s="20" t="s">
        <v>998</v>
      </c>
      <c r="F246" s="23" t="s">
        <v>71</v>
      </c>
      <c r="G246" s="20" t="s">
        <v>998</v>
      </c>
      <c r="H246" s="21" t="s">
        <v>780</v>
      </c>
      <c r="I246" s="20" t="s">
        <v>998</v>
      </c>
      <c r="J246" s="21" t="s">
        <v>89</v>
      </c>
      <c r="K246" s="20" t="s">
        <v>998</v>
      </c>
      <c r="L246" s="21" t="s">
        <v>737</v>
      </c>
      <c r="M246" s="20" t="s">
        <v>998</v>
      </c>
      <c r="N246" s="21" t="s">
        <v>781</v>
      </c>
      <c r="O246" s="20" t="s">
        <v>998</v>
      </c>
      <c r="P246" s="21" t="s">
        <v>1072</v>
      </c>
      <c r="Q246" s="20" t="s">
        <v>998</v>
      </c>
      <c r="R246" s="64" t="s">
        <v>862</v>
      </c>
      <c r="S246" s="20" t="s">
        <v>998</v>
      </c>
      <c r="T246" s="76" t="s">
        <v>1073</v>
      </c>
      <c r="U246" s="77"/>
      <c r="V246" s="26" t="s">
        <v>79</v>
      </c>
      <c r="W246" s="25"/>
      <c r="X246" s="26" t="s">
        <v>80</v>
      </c>
      <c r="Y246" s="85"/>
      <c r="Z246" s="26" t="s">
        <v>79</v>
      </c>
      <c r="AA246" s="25"/>
      <c r="AB246" s="26" t="s">
        <v>80</v>
      </c>
      <c r="AD246" s="23" t="s">
        <v>785</v>
      </c>
    </row>
    <row r="247" spans="1:30" ht="339.95">
      <c r="B247" s="21" t="s">
        <v>1074</v>
      </c>
      <c r="C247" s="20" t="s">
        <v>998</v>
      </c>
      <c r="D247" s="21" t="s">
        <v>1075</v>
      </c>
      <c r="E247" s="20" t="s">
        <v>998</v>
      </c>
      <c r="F247" s="23" t="s">
        <v>254</v>
      </c>
      <c r="G247" s="20" t="s">
        <v>998</v>
      </c>
      <c r="H247" s="21" t="s">
        <v>780</v>
      </c>
      <c r="I247" s="20" t="s">
        <v>998</v>
      </c>
      <c r="J247" s="21" t="s">
        <v>89</v>
      </c>
      <c r="K247" s="20" t="s">
        <v>998</v>
      </c>
      <c r="L247" s="21" t="s">
        <v>737</v>
      </c>
      <c r="M247" s="20" t="s">
        <v>998</v>
      </c>
      <c r="N247" s="21" t="s">
        <v>781</v>
      </c>
      <c r="O247" s="20" t="s">
        <v>998</v>
      </c>
      <c r="P247" s="21" t="s">
        <v>1076</v>
      </c>
      <c r="Q247" s="20" t="s">
        <v>998</v>
      </c>
      <c r="R247" s="64" t="s">
        <v>862</v>
      </c>
      <c r="S247" s="20" t="s">
        <v>998</v>
      </c>
      <c r="T247" s="76" t="s">
        <v>1077</v>
      </c>
      <c r="U247" s="77"/>
      <c r="V247" s="26" t="s">
        <v>79</v>
      </c>
      <c r="W247" s="25"/>
      <c r="X247" s="26" t="s">
        <v>80</v>
      </c>
      <c r="Y247" s="85"/>
      <c r="Z247" s="26" t="s">
        <v>79</v>
      </c>
      <c r="AA247" s="25"/>
      <c r="AB247" s="26" t="s">
        <v>80</v>
      </c>
      <c r="AD247" s="23" t="s">
        <v>785</v>
      </c>
    </row>
    <row r="248" spans="1:30" ht="387.95">
      <c r="B248" s="21" t="s">
        <v>1078</v>
      </c>
      <c r="C248" s="20" t="s">
        <v>998</v>
      </c>
      <c r="D248" s="21" t="s">
        <v>1079</v>
      </c>
      <c r="E248" s="20" t="s">
        <v>998</v>
      </c>
      <c r="F248" s="23" t="s">
        <v>254</v>
      </c>
      <c r="G248" s="20" t="s">
        <v>998</v>
      </c>
      <c r="H248" s="21" t="s">
        <v>780</v>
      </c>
      <c r="I248" s="20" t="s">
        <v>998</v>
      </c>
      <c r="J248" s="21" t="s">
        <v>89</v>
      </c>
      <c r="K248" s="20" t="s">
        <v>998</v>
      </c>
      <c r="L248" s="21" t="s">
        <v>737</v>
      </c>
      <c r="M248" s="20" t="s">
        <v>998</v>
      </c>
      <c r="N248" s="21" t="s">
        <v>781</v>
      </c>
      <c r="O248" s="20" t="s">
        <v>998</v>
      </c>
      <c r="P248" s="21" t="s">
        <v>1080</v>
      </c>
      <c r="Q248" s="20" t="s">
        <v>998</v>
      </c>
      <c r="R248" s="64" t="s">
        <v>862</v>
      </c>
      <c r="S248" s="20" t="s">
        <v>998</v>
      </c>
      <c r="T248" s="76" t="s">
        <v>1081</v>
      </c>
      <c r="U248" s="77"/>
      <c r="V248" s="26" t="s">
        <v>79</v>
      </c>
      <c r="W248" s="25"/>
      <c r="X248" s="26" t="s">
        <v>80</v>
      </c>
      <c r="Y248" s="85"/>
      <c r="Z248" s="26" t="s">
        <v>79</v>
      </c>
      <c r="AA248" s="25"/>
      <c r="AB248" s="26" t="s">
        <v>80</v>
      </c>
      <c r="AD248" s="23" t="s">
        <v>785</v>
      </c>
    </row>
    <row r="249" spans="1:30" ht="409.6">
      <c r="B249" s="21" t="s">
        <v>1082</v>
      </c>
      <c r="C249" s="20" t="s">
        <v>998</v>
      </c>
      <c r="D249" s="21" t="s">
        <v>1083</v>
      </c>
      <c r="E249" s="20" t="s">
        <v>998</v>
      </c>
      <c r="F249" s="23" t="s">
        <v>254</v>
      </c>
      <c r="G249" s="20" t="s">
        <v>998</v>
      </c>
      <c r="H249" s="21" t="s">
        <v>780</v>
      </c>
      <c r="I249" s="20" t="s">
        <v>998</v>
      </c>
      <c r="J249" s="21" t="s">
        <v>89</v>
      </c>
      <c r="K249" s="20" t="s">
        <v>998</v>
      </c>
      <c r="L249" s="21" t="s">
        <v>737</v>
      </c>
      <c r="M249" s="20" t="s">
        <v>998</v>
      </c>
      <c r="N249" s="21" t="s">
        <v>781</v>
      </c>
      <c r="O249" s="20" t="s">
        <v>998</v>
      </c>
      <c r="P249" s="21" t="s">
        <v>1084</v>
      </c>
      <c r="Q249" s="20" t="s">
        <v>998</v>
      </c>
      <c r="R249" s="64" t="s">
        <v>862</v>
      </c>
      <c r="S249" s="20" t="s">
        <v>998</v>
      </c>
      <c r="T249" s="76" t="s">
        <v>1085</v>
      </c>
      <c r="U249" s="77"/>
      <c r="V249" s="26" t="s">
        <v>79</v>
      </c>
      <c r="W249" s="25"/>
      <c r="X249" s="26" t="s">
        <v>80</v>
      </c>
      <c r="Y249" s="85"/>
      <c r="Z249" s="26" t="s">
        <v>79</v>
      </c>
      <c r="AA249" s="25"/>
      <c r="AB249" s="26" t="s">
        <v>80</v>
      </c>
      <c r="AD249" s="23" t="s">
        <v>785</v>
      </c>
    </row>
    <row r="250" spans="1:30" ht="288.95">
      <c r="B250" s="21" t="s">
        <v>1086</v>
      </c>
      <c r="C250" s="20" t="s">
        <v>998</v>
      </c>
      <c r="D250" s="21" t="s">
        <v>1047</v>
      </c>
      <c r="E250" s="20" t="s">
        <v>998</v>
      </c>
      <c r="F250" s="23" t="s">
        <v>254</v>
      </c>
      <c r="G250" s="20" t="s">
        <v>998</v>
      </c>
      <c r="H250" s="21" t="s">
        <v>780</v>
      </c>
      <c r="I250" s="20" t="s">
        <v>998</v>
      </c>
      <c r="J250" s="21" t="s">
        <v>89</v>
      </c>
      <c r="K250" s="20" t="s">
        <v>998</v>
      </c>
      <c r="L250" s="21" t="s">
        <v>737</v>
      </c>
      <c r="M250" s="20" t="s">
        <v>998</v>
      </c>
      <c r="N250" s="21" t="s">
        <v>781</v>
      </c>
      <c r="O250" s="20" t="s">
        <v>998</v>
      </c>
      <c r="P250" s="21" t="s">
        <v>1087</v>
      </c>
      <c r="Q250" s="20" t="s">
        <v>998</v>
      </c>
      <c r="R250" s="64" t="s">
        <v>862</v>
      </c>
      <c r="S250" s="20" t="s">
        <v>998</v>
      </c>
      <c r="T250" s="76" t="s">
        <v>1088</v>
      </c>
      <c r="U250" s="77"/>
      <c r="V250" s="26" t="s">
        <v>79</v>
      </c>
      <c r="W250" s="25"/>
      <c r="X250" s="26" t="s">
        <v>80</v>
      </c>
      <c r="Y250" s="85"/>
      <c r="Z250" s="26" t="s">
        <v>79</v>
      </c>
      <c r="AA250" s="25"/>
      <c r="AB250" s="26" t="s">
        <v>80</v>
      </c>
      <c r="AD250" s="23" t="s">
        <v>785</v>
      </c>
    </row>
    <row r="251" spans="1:30" ht="239.45" customHeight="1">
      <c r="B251" s="21" t="s">
        <v>1089</v>
      </c>
      <c r="C251" s="20" t="s">
        <v>998</v>
      </c>
      <c r="D251" s="21" t="s">
        <v>1090</v>
      </c>
      <c r="E251" s="20" t="s">
        <v>998</v>
      </c>
      <c r="F251" s="23" t="s">
        <v>71</v>
      </c>
      <c r="G251" s="20" t="s">
        <v>998</v>
      </c>
      <c r="H251" s="21" t="s">
        <v>780</v>
      </c>
      <c r="I251" s="20" t="s">
        <v>998</v>
      </c>
      <c r="J251" s="21" t="s">
        <v>89</v>
      </c>
      <c r="K251" s="20" t="s">
        <v>998</v>
      </c>
      <c r="L251" s="21" t="s">
        <v>737</v>
      </c>
      <c r="M251" s="20" t="s">
        <v>998</v>
      </c>
      <c r="N251" s="21" t="s">
        <v>781</v>
      </c>
      <c r="O251" s="20" t="s">
        <v>998</v>
      </c>
      <c r="P251" s="21" t="s">
        <v>1091</v>
      </c>
      <c r="R251" s="64" t="s">
        <v>862</v>
      </c>
      <c r="S251" s="20" t="s">
        <v>998</v>
      </c>
      <c r="T251" s="76" t="s">
        <v>1092</v>
      </c>
      <c r="U251" s="77"/>
      <c r="V251" s="26" t="s">
        <v>79</v>
      </c>
      <c r="W251" s="25"/>
      <c r="X251" s="26" t="s">
        <v>80</v>
      </c>
      <c r="Y251" s="85"/>
      <c r="Z251" s="26" t="s">
        <v>79</v>
      </c>
      <c r="AA251" s="25"/>
      <c r="AB251" s="26" t="s">
        <v>80</v>
      </c>
      <c r="AD251" s="23" t="s">
        <v>785</v>
      </c>
    </row>
    <row r="252" spans="1:30" ht="262.7" customHeight="1">
      <c r="A252" s="21"/>
      <c r="B252" s="21" t="s">
        <v>1093</v>
      </c>
      <c r="C252" s="20" t="s">
        <v>998</v>
      </c>
      <c r="D252" s="21" t="s">
        <v>1094</v>
      </c>
      <c r="E252" s="20" t="s">
        <v>998</v>
      </c>
      <c r="F252" s="23" t="s">
        <v>71</v>
      </c>
      <c r="G252" s="20" t="s">
        <v>998</v>
      </c>
      <c r="H252" s="21" t="s">
        <v>780</v>
      </c>
      <c r="I252" s="20" t="s">
        <v>998</v>
      </c>
      <c r="J252" s="21" t="s">
        <v>89</v>
      </c>
      <c r="K252" s="20" t="s">
        <v>998</v>
      </c>
      <c r="L252" s="21" t="s">
        <v>737</v>
      </c>
      <c r="M252" s="20" t="s">
        <v>998</v>
      </c>
      <c r="N252" s="21" t="s">
        <v>781</v>
      </c>
      <c r="O252" s="20" t="s">
        <v>998</v>
      </c>
      <c r="P252" s="21" t="s">
        <v>1095</v>
      </c>
      <c r="R252" s="64" t="s">
        <v>862</v>
      </c>
      <c r="S252" s="20" t="s">
        <v>998</v>
      </c>
      <c r="T252" s="76" t="s">
        <v>1096</v>
      </c>
      <c r="U252" s="77"/>
      <c r="V252" s="26" t="s">
        <v>79</v>
      </c>
      <c r="W252" s="25"/>
      <c r="X252" s="26" t="s">
        <v>80</v>
      </c>
      <c r="Y252" s="85"/>
      <c r="Z252" s="26" t="s">
        <v>79</v>
      </c>
      <c r="AA252" s="25"/>
      <c r="AB252" s="26" t="s">
        <v>80</v>
      </c>
      <c r="AD252" s="23" t="s">
        <v>785</v>
      </c>
    </row>
    <row r="253" spans="1:30" ht="235.7" customHeight="1">
      <c r="B253" s="21" t="s">
        <v>1097</v>
      </c>
      <c r="C253" s="20" t="s">
        <v>998</v>
      </c>
      <c r="D253" s="21" t="s">
        <v>1094</v>
      </c>
      <c r="E253" s="20" t="s">
        <v>998</v>
      </c>
      <c r="F253" s="23" t="s">
        <v>71</v>
      </c>
      <c r="G253" s="20" t="s">
        <v>998</v>
      </c>
      <c r="H253" s="21" t="s">
        <v>780</v>
      </c>
      <c r="I253" s="20" t="s">
        <v>998</v>
      </c>
      <c r="J253" s="21" t="s">
        <v>89</v>
      </c>
      <c r="K253" s="20" t="s">
        <v>998</v>
      </c>
      <c r="L253" s="21" t="s">
        <v>737</v>
      </c>
      <c r="M253" s="20" t="s">
        <v>998</v>
      </c>
      <c r="N253" s="21" t="s">
        <v>781</v>
      </c>
      <c r="O253" s="20" t="s">
        <v>998</v>
      </c>
      <c r="P253" s="21" t="s">
        <v>1098</v>
      </c>
      <c r="Q253" s="20" t="s">
        <v>998</v>
      </c>
      <c r="R253" s="64" t="s">
        <v>862</v>
      </c>
      <c r="S253" s="20" t="s">
        <v>998</v>
      </c>
      <c r="T253" s="76" t="s">
        <v>1099</v>
      </c>
      <c r="U253" s="77"/>
      <c r="V253" s="26" t="s">
        <v>79</v>
      </c>
      <c r="W253" s="25"/>
      <c r="X253" s="26" t="s">
        <v>80</v>
      </c>
      <c r="Y253" s="85"/>
      <c r="Z253" s="26" t="s">
        <v>79</v>
      </c>
      <c r="AA253" s="25"/>
      <c r="AB253" s="26" t="s">
        <v>80</v>
      </c>
      <c r="AD253" s="23" t="s">
        <v>785</v>
      </c>
    </row>
    <row r="254" spans="1:30" ht="235.7" customHeight="1">
      <c r="B254" s="21" t="s">
        <v>1100</v>
      </c>
      <c r="C254" s="20"/>
      <c r="D254" s="21" t="s">
        <v>380</v>
      </c>
      <c r="E254" s="20"/>
      <c r="F254" s="23" t="s">
        <v>380</v>
      </c>
      <c r="H254" s="21" t="s">
        <v>1101</v>
      </c>
      <c r="J254" s="21" t="s">
        <v>73</v>
      </c>
      <c r="L254" s="21" t="s">
        <v>737</v>
      </c>
      <c r="N254" s="21" t="s">
        <v>103</v>
      </c>
      <c r="P254" s="21" t="s">
        <v>1102</v>
      </c>
      <c r="R254" s="21" t="s">
        <v>77</v>
      </c>
      <c r="S254" s="20"/>
      <c r="T254" s="89" t="s">
        <v>1103</v>
      </c>
      <c r="U254" s="77"/>
      <c r="V254" s="26" t="s">
        <v>161</v>
      </c>
      <c r="W254" s="25"/>
      <c r="X254" s="26" t="s">
        <v>92</v>
      </c>
      <c r="Y254" s="85"/>
      <c r="Z254" s="26" t="s">
        <v>79</v>
      </c>
      <c r="AA254" s="25"/>
      <c r="AB254" s="23" t="s">
        <v>1104</v>
      </c>
      <c r="AD254" s="23" t="s">
        <v>1105</v>
      </c>
    </row>
    <row r="255" spans="1:30" ht="119.1">
      <c r="A255" s="21"/>
      <c r="B255" s="95" t="s">
        <v>1106</v>
      </c>
      <c r="C255" s="20"/>
      <c r="D255" s="21" t="s">
        <v>261</v>
      </c>
      <c r="E255" s="20"/>
      <c r="F255" s="23" t="s">
        <v>254</v>
      </c>
      <c r="H255" s="21" t="s">
        <v>262</v>
      </c>
      <c r="J255" s="21" t="s">
        <v>89</v>
      </c>
      <c r="L255" s="21" t="s">
        <v>737</v>
      </c>
      <c r="N255" s="21" t="s">
        <v>781</v>
      </c>
      <c r="P255" s="21" t="s">
        <v>1107</v>
      </c>
      <c r="R255" s="21" t="s">
        <v>77</v>
      </c>
      <c r="S255" s="20"/>
      <c r="T255" s="58" t="s">
        <v>1108</v>
      </c>
      <c r="V255" s="26" t="s">
        <v>79</v>
      </c>
      <c r="W255" s="28"/>
      <c r="X255" s="26" t="s">
        <v>80</v>
      </c>
      <c r="Z255" s="26" t="s">
        <v>79</v>
      </c>
      <c r="AA255" s="28"/>
      <c r="AB255" s="26" t="s">
        <v>80</v>
      </c>
      <c r="AD255" s="23" t="s">
        <v>1109</v>
      </c>
    </row>
    <row r="256" spans="1:30" ht="189" customHeight="1">
      <c r="B256" s="128" t="s">
        <v>1110</v>
      </c>
      <c r="C256" s="129"/>
      <c r="D256" s="128" t="s">
        <v>749</v>
      </c>
      <c r="E256" s="129"/>
      <c r="F256" s="130" t="s">
        <v>254</v>
      </c>
      <c r="G256" s="129"/>
      <c r="H256" s="128" t="s">
        <v>1111</v>
      </c>
      <c r="I256" s="129"/>
      <c r="J256" s="128" t="s">
        <v>73</v>
      </c>
      <c r="K256" s="129"/>
      <c r="L256" s="128" t="s">
        <v>737</v>
      </c>
      <c r="M256" s="129"/>
      <c r="N256" s="128" t="s">
        <v>103</v>
      </c>
      <c r="O256" s="129"/>
      <c r="P256" s="128" t="s">
        <v>1112</v>
      </c>
      <c r="Q256" s="129"/>
      <c r="R256" s="128" t="s">
        <v>77</v>
      </c>
      <c r="S256" s="129"/>
      <c r="T256" s="58" t="s">
        <v>1113</v>
      </c>
      <c r="U256" s="131"/>
      <c r="V256" s="26" t="s">
        <v>79</v>
      </c>
      <c r="W256" s="132"/>
      <c r="X256" s="26" t="s">
        <v>80</v>
      </c>
      <c r="Y256" s="132"/>
      <c r="Z256" s="26" t="s">
        <v>79</v>
      </c>
      <c r="AA256" s="132"/>
      <c r="AB256" s="26" t="s">
        <v>80</v>
      </c>
      <c r="AC256" s="132"/>
      <c r="AD256" s="134" t="s">
        <v>1114</v>
      </c>
    </row>
    <row r="257" spans="1:32" customFormat="1" ht="68.099999999999994">
      <c r="A257" s="135"/>
      <c r="B257" s="95" t="s">
        <v>1115</v>
      </c>
      <c r="C257" s="126"/>
      <c r="D257" s="126" t="s">
        <v>1116</v>
      </c>
      <c r="E257" s="126"/>
      <c r="F257" s="136" t="s">
        <v>254</v>
      </c>
      <c r="G257" s="136"/>
      <c r="H257" s="136" t="s">
        <v>262</v>
      </c>
      <c r="I257" s="136"/>
      <c r="J257" s="106" t="s">
        <v>89</v>
      </c>
      <c r="K257" s="136"/>
      <c r="L257" s="136" t="s">
        <v>737</v>
      </c>
      <c r="M257" s="126"/>
      <c r="N257" s="56" t="s">
        <v>103</v>
      </c>
      <c r="O257" s="136"/>
      <c r="P257" s="95" t="s">
        <v>1117</v>
      </c>
      <c r="Q257" s="136"/>
      <c r="R257" s="136" t="s">
        <v>77</v>
      </c>
      <c r="S257" s="136"/>
      <c r="T257" s="58" t="s">
        <v>1118</v>
      </c>
      <c r="U257" s="136"/>
      <c r="V257" s="137" t="s">
        <v>79</v>
      </c>
      <c r="W257" s="136"/>
      <c r="X257" s="137" t="s">
        <v>80</v>
      </c>
      <c r="Y257" s="95"/>
      <c r="Z257" s="137" t="s">
        <v>79</v>
      </c>
      <c r="AA257" s="95"/>
      <c r="AB257" s="137" t="s">
        <v>80</v>
      </c>
      <c r="AC257" s="126"/>
      <c r="AD257" s="117" t="s">
        <v>1119</v>
      </c>
      <c r="AE257" s="20"/>
    </row>
    <row r="258" spans="1:32" customFormat="1" ht="51">
      <c r="A258" s="135"/>
      <c r="B258" s="95" t="s">
        <v>1120</v>
      </c>
      <c r="C258" s="126"/>
      <c r="D258" s="126" t="s">
        <v>1116</v>
      </c>
      <c r="E258" s="126"/>
      <c r="F258" s="136" t="s">
        <v>254</v>
      </c>
      <c r="G258" s="136"/>
      <c r="H258" s="136" t="s">
        <v>364</v>
      </c>
      <c r="I258" s="136"/>
      <c r="J258" s="106" t="s">
        <v>89</v>
      </c>
      <c r="K258" s="136"/>
      <c r="L258" s="21" t="s">
        <v>737</v>
      </c>
      <c r="M258" s="126"/>
      <c r="N258" s="56" t="s">
        <v>103</v>
      </c>
      <c r="O258" s="136"/>
      <c r="P258" s="95" t="s">
        <v>1121</v>
      </c>
      <c r="Q258" s="136"/>
      <c r="R258" s="136" t="s">
        <v>77</v>
      </c>
      <c r="S258" s="136"/>
      <c r="T258" s="58" t="s">
        <v>1118</v>
      </c>
      <c r="U258" s="136"/>
      <c r="V258" s="137" t="s">
        <v>79</v>
      </c>
      <c r="W258" s="136"/>
      <c r="X258" s="137" t="s">
        <v>80</v>
      </c>
      <c r="Y258" s="95"/>
      <c r="Z258" s="137" t="s">
        <v>79</v>
      </c>
      <c r="AA258" s="95"/>
      <c r="AB258" s="137" t="s">
        <v>80</v>
      </c>
      <c r="AC258" s="126"/>
      <c r="AD258" s="117" t="s">
        <v>1119</v>
      </c>
      <c r="AE258" s="129"/>
    </row>
    <row r="259" spans="1:32" customFormat="1" ht="45.95" customHeight="1">
      <c r="A259" s="135"/>
      <c r="B259" s="95" t="s">
        <v>1122</v>
      </c>
      <c r="C259" s="126"/>
      <c r="D259" s="126" t="s">
        <v>1116</v>
      </c>
      <c r="E259" s="126"/>
      <c r="F259" s="136" t="s">
        <v>254</v>
      </c>
      <c r="G259" s="136"/>
      <c r="H259" s="136" t="s">
        <v>298</v>
      </c>
      <c r="I259" s="136"/>
      <c r="J259" s="106" t="s">
        <v>89</v>
      </c>
      <c r="K259" s="136"/>
      <c r="L259" s="21" t="s">
        <v>737</v>
      </c>
      <c r="M259" s="126"/>
      <c r="N259" s="56" t="s">
        <v>103</v>
      </c>
      <c r="O259" s="136"/>
      <c r="P259" s="95" t="s">
        <v>1123</v>
      </c>
      <c r="Q259" s="136"/>
      <c r="R259" s="136" t="s">
        <v>77</v>
      </c>
      <c r="S259" s="136"/>
      <c r="T259" s="58" t="s">
        <v>1118</v>
      </c>
      <c r="U259" s="136"/>
      <c r="V259" s="137" t="s">
        <v>79</v>
      </c>
      <c r="W259" s="136"/>
      <c r="X259" s="137" t="s">
        <v>80</v>
      </c>
      <c r="Y259" s="95"/>
      <c r="Z259" s="137" t="s">
        <v>79</v>
      </c>
      <c r="AA259" s="95"/>
      <c r="AB259" s="137" t="s">
        <v>80</v>
      </c>
      <c r="AC259" s="126"/>
      <c r="AD259" s="117" t="s">
        <v>1119</v>
      </c>
      <c r="AE259" s="126"/>
    </row>
    <row r="260" spans="1:32" customFormat="1" ht="59.1" customHeight="1">
      <c r="A260" s="135"/>
      <c r="B260" s="95" t="s">
        <v>1124</v>
      </c>
      <c r="C260" s="126"/>
      <c r="D260" s="126" t="s">
        <v>1116</v>
      </c>
      <c r="E260" s="126"/>
      <c r="F260" s="136" t="s">
        <v>254</v>
      </c>
      <c r="G260" s="136"/>
      <c r="H260" s="136" t="s">
        <v>364</v>
      </c>
      <c r="I260" s="136"/>
      <c r="J260" s="106" t="s">
        <v>89</v>
      </c>
      <c r="K260" s="136"/>
      <c r="L260" s="21" t="s">
        <v>737</v>
      </c>
      <c r="M260" s="126"/>
      <c r="N260" s="56" t="s">
        <v>103</v>
      </c>
      <c r="O260" s="136"/>
      <c r="P260" s="95" t="s">
        <v>1125</v>
      </c>
      <c r="Q260" s="136"/>
      <c r="R260" s="136" t="s">
        <v>77</v>
      </c>
      <c r="S260" s="136"/>
      <c r="T260" s="58" t="s">
        <v>1118</v>
      </c>
      <c r="U260" s="136"/>
      <c r="V260" s="137" t="s">
        <v>79</v>
      </c>
      <c r="W260" s="136"/>
      <c r="X260" s="137" t="s">
        <v>80</v>
      </c>
      <c r="Y260" s="95"/>
      <c r="Z260" s="137" t="s">
        <v>79</v>
      </c>
      <c r="AA260" s="95"/>
      <c r="AB260" s="137" t="s">
        <v>80</v>
      </c>
      <c r="AC260" s="126"/>
      <c r="AD260" s="117" t="s">
        <v>1119</v>
      </c>
      <c r="AE260" s="126"/>
    </row>
    <row r="261" spans="1:32" customFormat="1" ht="135.94999999999999">
      <c r="A261" s="139"/>
      <c r="B261" s="95" t="s">
        <v>1126</v>
      </c>
      <c r="C261" s="126"/>
      <c r="D261" s="126" t="s">
        <v>1116</v>
      </c>
      <c r="E261" s="126"/>
      <c r="F261" s="136" t="s">
        <v>254</v>
      </c>
      <c r="G261" s="136"/>
      <c r="H261" s="136" t="s">
        <v>364</v>
      </c>
      <c r="I261" s="136"/>
      <c r="J261" s="106" t="s">
        <v>89</v>
      </c>
      <c r="K261" s="136"/>
      <c r="L261" s="21" t="s">
        <v>737</v>
      </c>
      <c r="M261" s="126"/>
      <c r="N261" s="56" t="s">
        <v>103</v>
      </c>
      <c r="O261" s="136"/>
      <c r="P261" s="95" t="s">
        <v>1127</v>
      </c>
      <c r="Q261" s="136"/>
      <c r="R261" s="136" t="s">
        <v>77</v>
      </c>
      <c r="S261" s="136"/>
      <c r="T261" s="58" t="s">
        <v>1118</v>
      </c>
      <c r="U261" s="136"/>
      <c r="V261" s="137" t="s">
        <v>79</v>
      </c>
      <c r="W261" s="136"/>
      <c r="X261" s="137" t="s">
        <v>80</v>
      </c>
      <c r="Y261" s="95"/>
      <c r="Z261" s="137" t="s">
        <v>79</v>
      </c>
      <c r="AA261" s="95"/>
      <c r="AB261" s="137" t="s">
        <v>80</v>
      </c>
      <c r="AC261" s="126"/>
      <c r="AD261" s="117" t="s">
        <v>1119</v>
      </c>
      <c r="AE261" s="126"/>
    </row>
    <row r="262" spans="1:32" customFormat="1" ht="68.099999999999994">
      <c r="A262" s="139"/>
      <c r="B262" s="95" t="s">
        <v>1128</v>
      </c>
      <c r="C262" s="126"/>
      <c r="D262" s="126" t="s">
        <v>1116</v>
      </c>
      <c r="E262" s="126"/>
      <c r="F262" s="136" t="s">
        <v>254</v>
      </c>
      <c r="G262" s="136"/>
      <c r="H262" s="136" t="s">
        <v>364</v>
      </c>
      <c r="I262" s="136"/>
      <c r="J262" s="106" t="s">
        <v>89</v>
      </c>
      <c r="K262" s="136"/>
      <c r="L262" s="21" t="s">
        <v>737</v>
      </c>
      <c r="M262" s="126"/>
      <c r="N262" s="56" t="s">
        <v>103</v>
      </c>
      <c r="O262" s="136"/>
      <c r="P262" s="95" t="s">
        <v>1129</v>
      </c>
      <c r="Q262" s="136"/>
      <c r="R262" s="136" t="s">
        <v>77</v>
      </c>
      <c r="S262" s="136"/>
      <c r="T262" s="58" t="s">
        <v>1118</v>
      </c>
      <c r="U262" s="136"/>
      <c r="V262" s="137" t="s">
        <v>79</v>
      </c>
      <c r="W262" s="136"/>
      <c r="X262" s="137" t="s">
        <v>80</v>
      </c>
      <c r="Y262" s="95"/>
      <c r="Z262" s="137" t="s">
        <v>79</v>
      </c>
      <c r="AA262" s="95"/>
      <c r="AB262" s="137" t="s">
        <v>80</v>
      </c>
      <c r="AC262" s="126"/>
      <c r="AD262" s="117" t="s">
        <v>1119</v>
      </c>
      <c r="AE262" s="126"/>
    </row>
    <row r="263" spans="1:32" customFormat="1" ht="68.099999999999994">
      <c r="A263" s="139"/>
      <c r="B263" s="95" t="s">
        <v>1130</v>
      </c>
      <c r="C263" s="126"/>
      <c r="D263" s="126" t="s">
        <v>1116</v>
      </c>
      <c r="E263" s="126"/>
      <c r="F263" s="136" t="s">
        <v>254</v>
      </c>
      <c r="G263" s="136"/>
      <c r="H263" s="136" t="s">
        <v>291</v>
      </c>
      <c r="I263" s="136"/>
      <c r="J263" s="106" t="s">
        <v>89</v>
      </c>
      <c r="K263" s="136"/>
      <c r="L263" s="21" t="s">
        <v>737</v>
      </c>
      <c r="M263" s="126"/>
      <c r="N263" s="56" t="s">
        <v>185</v>
      </c>
      <c r="O263" s="136"/>
      <c r="P263" s="95" t="s">
        <v>1131</v>
      </c>
      <c r="Q263" s="136"/>
      <c r="R263" s="136" t="s">
        <v>77</v>
      </c>
      <c r="S263" s="136"/>
      <c r="T263" s="58" t="s">
        <v>1118</v>
      </c>
      <c r="U263" s="136"/>
      <c r="V263" s="137" t="s">
        <v>79</v>
      </c>
      <c r="W263" s="136"/>
      <c r="X263" s="137" t="s">
        <v>80</v>
      </c>
      <c r="Y263" s="95"/>
      <c r="Z263" s="137" t="s">
        <v>79</v>
      </c>
      <c r="AA263" s="95"/>
      <c r="AB263" s="137" t="s">
        <v>80</v>
      </c>
      <c r="AC263" s="126"/>
      <c r="AD263" s="117" t="s">
        <v>1119</v>
      </c>
      <c r="AE263" s="126"/>
    </row>
    <row r="264" spans="1:32" customFormat="1" ht="62.1" customHeight="1">
      <c r="A264" s="139"/>
      <c r="B264" s="95" t="s">
        <v>1132</v>
      </c>
      <c r="C264" s="126"/>
      <c r="D264" s="126" t="s">
        <v>1116</v>
      </c>
      <c r="E264" s="126"/>
      <c r="F264" s="136" t="s">
        <v>254</v>
      </c>
      <c r="G264" s="136"/>
      <c r="H264" s="136" t="s">
        <v>291</v>
      </c>
      <c r="I264" s="136"/>
      <c r="J264" s="106" t="s">
        <v>89</v>
      </c>
      <c r="K264" s="136"/>
      <c r="L264" s="21" t="s">
        <v>737</v>
      </c>
      <c r="M264" s="126"/>
      <c r="N264" s="56" t="s">
        <v>185</v>
      </c>
      <c r="O264" s="136"/>
      <c r="P264" s="95" t="s">
        <v>1133</v>
      </c>
      <c r="Q264" s="136"/>
      <c r="R264" s="136" t="s">
        <v>77</v>
      </c>
      <c r="S264" s="136"/>
      <c r="T264" s="58" t="s">
        <v>1118</v>
      </c>
      <c r="U264" s="136"/>
      <c r="V264" s="137" t="s">
        <v>79</v>
      </c>
      <c r="W264" s="136"/>
      <c r="X264" s="137" t="s">
        <v>80</v>
      </c>
      <c r="Y264" s="95"/>
      <c r="Z264" s="137" t="s">
        <v>79</v>
      </c>
      <c r="AA264" s="95"/>
      <c r="AB264" s="140" t="s">
        <v>753</v>
      </c>
      <c r="AC264" s="126"/>
      <c r="AD264" s="117" t="s">
        <v>1119</v>
      </c>
      <c r="AE264" s="126"/>
      <c r="AF264" s="199"/>
    </row>
    <row r="265" spans="1:32" customFormat="1" ht="84.95">
      <c r="A265" s="139"/>
      <c r="B265" s="95" t="s">
        <v>1134</v>
      </c>
      <c r="C265" s="126"/>
      <c r="D265" s="126" t="s">
        <v>1116</v>
      </c>
      <c r="E265" s="126"/>
      <c r="F265" s="136" t="s">
        <v>254</v>
      </c>
      <c r="G265" s="136"/>
      <c r="H265" s="136" t="s">
        <v>291</v>
      </c>
      <c r="I265" s="136"/>
      <c r="J265" s="106" t="s">
        <v>89</v>
      </c>
      <c r="K265" s="136"/>
      <c r="L265" s="21" t="s">
        <v>737</v>
      </c>
      <c r="M265" s="126"/>
      <c r="N265" s="56" t="s">
        <v>185</v>
      </c>
      <c r="O265" s="136"/>
      <c r="P265" s="95" t="s">
        <v>1135</v>
      </c>
      <c r="Q265" s="136"/>
      <c r="R265" s="136" t="s">
        <v>77</v>
      </c>
      <c r="S265" s="136"/>
      <c r="T265" s="58" t="s">
        <v>1118</v>
      </c>
      <c r="U265" s="136"/>
      <c r="V265" s="141" t="s">
        <v>79</v>
      </c>
      <c r="W265" s="136"/>
      <c r="X265" s="141" t="s">
        <v>80</v>
      </c>
      <c r="Y265" s="95"/>
      <c r="Z265" s="141" t="s">
        <v>79</v>
      </c>
      <c r="AA265" s="95"/>
      <c r="AB265" s="141" t="s">
        <v>80</v>
      </c>
      <c r="AC265" s="126"/>
      <c r="AD265" s="117" t="s">
        <v>1119</v>
      </c>
      <c r="AE265" s="126"/>
    </row>
    <row r="266" spans="1:32" customFormat="1" ht="102">
      <c r="A266" s="139"/>
      <c r="B266" s="95" t="s">
        <v>1136</v>
      </c>
      <c r="C266" s="126"/>
      <c r="D266" s="126" t="s">
        <v>1137</v>
      </c>
      <c r="E266" s="126"/>
      <c r="F266" s="136" t="s">
        <v>254</v>
      </c>
      <c r="G266" s="136"/>
      <c r="H266" s="136" t="s">
        <v>262</v>
      </c>
      <c r="I266" s="136"/>
      <c r="J266" s="21" t="s">
        <v>89</v>
      </c>
      <c r="K266" s="136"/>
      <c r="L266" s="136" t="s">
        <v>737</v>
      </c>
      <c r="M266" s="126"/>
      <c r="N266" s="56" t="s">
        <v>103</v>
      </c>
      <c r="O266" s="136"/>
      <c r="P266" s="95" t="s">
        <v>1138</v>
      </c>
      <c r="Q266" s="136"/>
      <c r="R266" s="136" t="s">
        <v>77</v>
      </c>
      <c r="S266" s="136"/>
      <c r="T266" s="58" t="s">
        <v>1139</v>
      </c>
      <c r="U266" s="136"/>
      <c r="V266" s="26" t="s">
        <v>79</v>
      </c>
      <c r="W266" s="136"/>
      <c r="X266" s="106" t="s">
        <v>80</v>
      </c>
      <c r="Y266" s="95"/>
      <c r="Z266" s="106" t="s">
        <v>79</v>
      </c>
      <c r="AA266" s="95"/>
      <c r="AB266" s="26" t="s">
        <v>80</v>
      </c>
      <c r="AC266" s="126"/>
      <c r="AD266" s="117" t="s">
        <v>1140</v>
      </c>
      <c r="AE266" s="126"/>
    </row>
    <row r="267" spans="1:32" customFormat="1" ht="51">
      <c r="A267" s="139"/>
      <c r="B267" s="95" t="s">
        <v>1120</v>
      </c>
      <c r="C267" s="126"/>
      <c r="D267" s="126" t="s">
        <v>1137</v>
      </c>
      <c r="E267" s="126"/>
      <c r="F267" s="136" t="s">
        <v>254</v>
      </c>
      <c r="G267" s="136"/>
      <c r="H267" s="136" t="s">
        <v>364</v>
      </c>
      <c r="I267" s="136"/>
      <c r="J267" s="21" t="s">
        <v>89</v>
      </c>
      <c r="K267" s="136"/>
      <c r="L267" s="21" t="s">
        <v>737</v>
      </c>
      <c r="M267" s="126"/>
      <c r="N267" s="56" t="s">
        <v>103</v>
      </c>
      <c r="O267" s="136"/>
      <c r="P267" s="95" t="s">
        <v>1141</v>
      </c>
      <c r="Q267" s="136"/>
      <c r="R267" s="136" t="s">
        <v>77</v>
      </c>
      <c r="S267" s="136"/>
      <c r="T267" s="58" t="s">
        <v>1142</v>
      </c>
      <c r="U267" s="136"/>
      <c r="V267" s="26" t="s">
        <v>79</v>
      </c>
      <c r="W267" s="136"/>
      <c r="X267" s="106" t="s">
        <v>80</v>
      </c>
      <c r="Y267" s="95"/>
      <c r="Z267" s="106" t="s">
        <v>79</v>
      </c>
      <c r="AA267" s="95"/>
      <c r="AB267" s="26" t="s">
        <v>80</v>
      </c>
      <c r="AC267" s="126"/>
      <c r="AD267" s="117" t="s">
        <v>1140</v>
      </c>
      <c r="AE267" s="126"/>
    </row>
    <row r="268" spans="1:32" customFormat="1" ht="153">
      <c r="A268" s="139"/>
      <c r="B268" s="95" t="s">
        <v>1124</v>
      </c>
      <c r="C268" s="126"/>
      <c r="D268" s="126" t="s">
        <v>1137</v>
      </c>
      <c r="E268" s="126"/>
      <c r="F268" s="136" t="s">
        <v>254</v>
      </c>
      <c r="G268" s="136"/>
      <c r="H268" s="136" t="s">
        <v>364</v>
      </c>
      <c r="I268" s="136"/>
      <c r="J268" s="21" t="s">
        <v>89</v>
      </c>
      <c r="K268" s="136"/>
      <c r="L268" s="136" t="s">
        <v>737</v>
      </c>
      <c r="M268" s="126"/>
      <c r="N268" s="56" t="s">
        <v>103</v>
      </c>
      <c r="O268" s="136"/>
      <c r="P268" s="95" t="s">
        <v>1143</v>
      </c>
      <c r="Q268" s="136"/>
      <c r="R268" s="136" t="s">
        <v>77</v>
      </c>
      <c r="S268" s="136"/>
      <c r="T268" s="58" t="s">
        <v>1144</v>
      </c>
      <c r="U268" s="136"/>
      <c r="V268" s="26" t="s">
        <v>79</v>
      </c>
      <c r="W268" s="136"/>
      <c r="X268" s="106" t="s">
        <v>80</v>
      </c>
      <c r="Y268" s="95"/>
      <c r="Z268" s="106" t="s">
        <v>79</v>
      </c>
      <c r="AA268" s="95"/>
      <c r="AB268" s="26" t="s">
        <v>80</v>
      </c>
      <c r="AC268" s="126"/>
      <c r="AD268" s="117" t="s">
        <v>1140</v>
      </c>
      <c r="AE268" s="126"/>
    </row>
    <row r="269" spans="1:32" customFormat="1" ht="288.95">
      <c r="A269" s="139"/>
      <c r="B269" s="95" t="s">
        <v>1145</v>
      </c>
      <c r="C269" s="126"/>
      <c r="D269" s="126" t="s">
        <v>1137</v>
      </c>
      <c r="E269" s="126"/>
      <c r="F269" s="136" t="s">
        <v>254</v>
      </c>
      <c r="G269" s="136"/>
      <c r="H269" s="136" t="s">
        <v>364</v>
      </c>
      <c r="I269" s="136"/>
      <c r="J269" s="21" t="s">
        <v>89</v>
      </c>
      <c r="K269" s="136"/>
      <c r="L269" s="21" t="s">
        <v>737</v>
      </c>
      <c r="M269" s="126"/>
      <c r="N269" s="56" t="s">
        <v>103</v>
      </c>
      <c r="O269" s="136"/>
      <c r="P269" s="95" t="s">
        <v>1146</v>
      </c>
      <c r="Q269" s="136"/>
      <c r="R269" s="136" t="s">
        <v>77</v>
      </c>
      <c r="S269" s="136"/>
      <c r="T269" s="58" t="s">
        <v>1147</v>
      </c>
      <c r="U269" s="136"/>
      <c r="V269" s="26" t="s">
        <v>79</v>
      </c>
      <c r="W269" s="136"/>
      <c r="X269" s="106" t="s">
        <v>80</v>
      </c>
      <c r="Y269" s="95"/>
      <c r="Z269" s="106" t="s">
        <v>79</v>
      </c>
      <c r="AA269" s="95"/>
      <c r="AB269" s="26" t="s">
        <v>80</v>
      </c>
      <c r="AC269" s="126"/>
      <c r="AD269" s="117" t="s">
        <v>1140</v>
      </c>
      <c r="AE269" s="126"/>
    </row>
    <row r="270" spans="1:32" customFormat="1" ht="63" customHeight="1">
      <c r="A270" s="139"/>
      <c r="B270" s="95" t="s">
        <v>1148</v>
      </c>
      <c r="C270" s="126"/>
      <c r="D270" s="126" t="s">
        <v>1137</v>
      </c>
      <c r="E270" s="126"/>
      <c r="F270" s="136" t="s">
        <v>254</v>
      </c>
      <c r="G270" s="136"/>
      <c r="H270" s="136" t="s">
        <v>364</v>
      </c>
      <c r="I270" s="136"/>
      <c r="J270" s="21" t="s">
        <v>89</v>
      </c>
      <c r="K270" s="136"/>
      <c r="L270" s="21" t="s">
        <v>737</v>
      </c>
      <c r="M270" s="126"/>
      <c r="N270" s="56" t="s">
        <v>103</v>
      </c>
      <c r="O270" s="136"/>
      <c r="P270" s="95" t="s">
        <v>1149</v>
      </c>
      <c r="Q270" s="136"/>
      <c r="R270" s="136" t="s">
        <v>77</v>
      </c>
      <c r="S270" s="136"/>
      <c r="T270" s="58" t="s">
        <v>1150</v>
      </c>
      <c r="U270" s="136"/>
      <c r="V270" s="26" t="s">
        <v>79</v>
      </c>
      <c r="W270" s="136"/>
      <c r="X270" s="106" t="s">
        <v>80</v>
      </c>
      <c r="Y270" s="95"/>
      <c r="Z270" s="106" t="s">
        <v>79</v>
      </c>
      <c r="AA270" s="95"/>
      <c r="AB270" s="26" t="s">
        <v>80</v>
      </c>
      <c r="AC270" s="126"/>
      <c r="AD270" s="117" t="s">
        <v>1140</v>
      </c>
      <c r="AE270" s="126"/>
    </row>
    <row r="271" spans="1:32" customFormat="1" ht="63" customHeight="1">
      <c r="A271" s="139"/>
      <c r="B271" s="95" t="s">
        <v>1130</v>
      </c>
      <c r="C271" s="126"/>
      <c r="D271" s="126" t="s">
        <v>1137</v>
      </c>
      <c r="E271" s="126"/>
      <c r="F271" s="136" t="s">
        <v>254</v>
      </c>
      <c r="G271" s="136"/>
      <c r="H271" s="136" t="s">
        <v>291</v>
      </c>
      <c r="I271" s="136"/>
      <c r="J271" s="21" t="s">
        <v>89</v>
      </c>
      <c r="K271" s="136"/>
      <c r="L271" s="21" t="s">
        <v>737</v>
      </c>
      <c r="M271" s="126"/>
      <c r="N271" s="56" t="s">
        <v>185</v>
      </c>
      <c r="O271" s="136"/>
      <c r="P271" s="95" t="s">
        <v>1151</v>
      </c>
      <c r="Q271" s="136"/>
      <c r="R271" s="136" t="s">
        <v>77</v>
      </c>
      <c r="S271" s="136"/>
      <c r="T271" s="58" t="s">
        <v>1152</v>
      </c>
      <c r="U271" s="136"/>
      <c r="V271" s="26" t="s">
        <v>79</v>
      </c>
      <c r="W271" s="136"/>
      <c r="X271" s="106" t="s">
        <v>80</v>
      </c>
      <c r="Y271" s="95"/>
      <c r="Z271" s="106" t="s">
        <v>79</v>
      </c>
      <c r="AA271" s="95"/>
      <c r="AB271" s="26" t="s">
        <v>80</v>
      </c>
      <c r="AC271" s="126"/>
      <c r="AD271" s="117" t="s">
        <v>1140</v>
      </c>
      <c r="AE271" s="126"/>
    </row>
    <row r="272" spans="1:32" customFormat="1" ht="62.1" customHeight="1">
      <c r="A272" s="139"/>
      <c r="B272" s="142" t="s">
        <v>1153</v>
      </c>
      <c r="C272" s="138"/>
      <c r="D272" s="138" t="s">
        <v>1137</v>
      </c>
      <c r="E272" s="138"/>
      <c r="F272" s="143" t="s">
        <v>254</v>
      </c>
      <c r="G272" s="143"/>
      <c r="H272" s="143" t="s">
        <v>291</v>
      </c>
      <c r="I272" s="143"/>
      <c r="J272" s="128" t="s">
        <v>89</v>
      </c>
      <c r="K272" s="143"/>
      <c r="L272" s="21" t="s">
        <v>737</v>
      </c>
      <c r="M272" s="138"/>
      <c r="N272" s="144" t="s">
        <v>185</v>
      </c>
      <c r="O272" s="143"/>
      <c r="P272" s="142" t="s">
        <v>1154</v>
      </c>
      <c r="Q272" s="143"/>
      <c r="R272" s="143" t="s">
        <v>77</v>
      </c>
      <c r="S272" s="143"/>
      <c r="T272" s="58" t="s">
        <v>1155</v>
      </c>
      <c r="U272" s="136"/>
      <c r="V272" s="26" t="s">
        <v>79</v>
      </c>
      <c r="W272" s="136"/>
      <c r="X272" s="106" t="s">
        <v>80</v>
      </c>
      <c r="Y272" s="95"/>
      <c r="Z272" s="106" t="s">
        <v>79</v>
      </c>
      <c r="AA272" s="95"/>
      <c r="AB272" s="145" t="s">
        <v>753</v>
      </c>
      <c r="AC272" s="126"/>
      <c r="AD272" s="117" t="s">
        <v>1140</v>
      </c>
      <c r="AE272" s="126"/>
    </row>
    <row r="273" spans="1:31" customFormat="1" ht="84.95">
      <c r="A273" s="139"/>
      <c r="B273" s="95" t="s">
        <v>1156</v>
      </c>
      <c r="C273" s="126"/>
      <c r="D273" s="126" t="s">
        <v>1137</v>
      </c>
      <c r="E273" s="126"/>
      <c r="F273" s="136" t="s">
        <v>254</v>
      </c>
      <c r="G273" s="136"/>
      <c r="H273" s="136" t="s">
        <v>291</v>
      </c>
      <c r="I273" s="136"/>
      <c r="J273" s="21" t="s">
        <v>89</v>
      </c>
      <c r="K273" s="136"/>
      <c r="L273" s="21" t="s">
        <v>737</v>
      </c>
      <c r="M273" s="126"/>
      <c r="N273" s="56" t="s">
        <v>185</v>
      </c>
      <c r="O273" s="136"/>
      <c r="P273" s="95" t="s">
        <v>1135</v>
      </c>
      <c r="Q273" s="136"/>
      <c r="R273" s="136" t="s">
        <v>77</v>
      </c>
      <c r="S273" s="136"/>
      <c r="T273" s="58" t="s">
        <v>1157</v>
      </c>
      <c r="U273" s="143"/>
      <c r="V273" s="133" t="s">
        <v>79</v>
      </c>
      <c r="W273" s="143"/>
      <c r="X273" s="106" t="s">
        <v>80</v>
      </c>
      <c r="Y273" s="142"/>
      <c r="Z273" s="146" t="s">
        <v>79</v>
      </c>
      <c r="AA273" s="142"/>
      <c r="AB273" s="147" t="s">
        <v>1158</v>
      </c>
      <c r="AC273" s="138"/>
      <c r="AD273" s="117" t="s">
        <v>1140</v>
      </c>
      <c r="AE273" s="126"/>
    </row>
    <row r="274" spans="1:31" customFormat="1" ht="119.1">
      <c r="A274" s="139"/>
      <c r="B274" s="95" t="s">
        <v>1159</v>
      </c>
      <c r="C274" s="126"/>
      <c r="D274" s="95" t="s">
        <v>1160</v>
      </c>
      <c r="E274" s="126"/>
      <c r="F274" s="136" t="s">
        <v>254</v>
      </c>
      <c r="G274" s="136"/>
      <c r="H274" s="136" t="s">
        <v>262</v>
      </c>
      <c r="I274" s="136"/>
      <c r="J274" s="21" t="s">
        <v>89</v>
      </c>
      <c r="K274" s="136"/>
      <c r="L274" s="136" t="s">
        <v>737</v>
      </c>
      <c r="M274" s="126"/>
      <c r="N274" s="56" t="s">
        <v>103</v>
      </c>
      <c r="O274" s="136"/>
      <c r="P274" s="95" t="s">
        <v>1161</v>
      </c>
      <c r="Q274" s="136"/>
      <c r="R274" s="136" t="s">
        <v>77</v>
      </c>
      <c r="S274" s="136"/>
      <c r="T274" s="58" t="s">
        <v>1162</v>
      </c>
      <c r="U274" s="136"/>
      <c r="V274" s="26" t="s">
        <v>79</v>
      </c>
      <c r="W274" s="143"/>
      <c r="X274" s="149" t="s">
        <v>80</v>
      </c>
      <c r="Y274" s="95"/>
      <c r="Z274" s="26" t="s">
        <v>79</v>
      </c>
      <c r="AA274" s="95"/>
      <c r="AB274" s="150" t="s">
        <v>80</v>
      </c>
      <c r="AC274" s="126"/>
      <c r="AD274" s="151" t="s">
        <v>1163</v>
      </c>
      <c r="AE274" s="126"/>
    </row>
    <row r="275" spans="1:31" customFormat="1" ht="51" customHeight="1">
      <c r="A275" s="139"/>
      <c r="B275" s="95" t="s">
        <v>1120</v>
      </c>
      <c r="C275" s="126"/>
      <c r="D275" s="95" t="s">
        <v>1160</v>
      </c>
      <c r="E275" s="126"/>
      <c r="F275" s="136" t="s">
        <v>254</v>
      </c>
      <c r="G275" s="136"/>
      <c r="H275" s="136" t="s">
        <v>364</v>
      </c>
      <c r="I275" s="136"/>
      <c r="J275" s="21" t="s">
        <v>89</v>
      </c>
      <c r="K275" s="136"/>
      <c r="L275" s="21" t="s">
        <v>737</v>
      </c>
      <c r="M275" s="126"/>
      <c r="N275" s="56" t="s">
        <v>103</v>
      </c>
      <c r="O275" s="136"/>
      <c r="P275" s="95" t="s">
        <v>1164</v>
      </c>
      <c r="Q275" s="136"/>
      <c r="R275" s="136" t="s">
        <v>77</v>
      </c>
      <c r="S275" s="136"/>
      <c r="T275" s="58" t="s">
        <v>1162</v>
      </c>
      <c r="U275" s="136"/>
      <c r="V275" s="26" t="s">
        <v>79</v>
      </c>
      <c r="W275" s="136"/>
      <c r="X275" s="152" t="s">
        <v>80</v>
      </c>
      <c r="Y275" s="95"/>
      <c r="Z275" s="26" t="s">
        <v>79</v>
      </c>
      <c r="AA275" s="95"/>
      <c r="AB275" s="150" t="s">
        <v>80</v>
      </c>
      <c r="AC275" s="126"/>
      <c r="AD275" s="153" t="s">
        <v>1163</v>
      </c>
      <c r="AE275" s="126"/>
    </row>
    <row r="276" spans="1:31" customFormat="1" ht="62.1" customHeight="1">
      <c r="A276" s="139"/>
      <c r="B276" s="95" t="s">
        <v>1165</v>
      </c>
      <c r="C276" s="126"/>
      <c r="D276" s="95" t="s">
        <v>1160</v>
      </c>
      <c r="E276" s="126"/>
      <c r="F276" s="136" t="s">
        <v>254</v>
      </c>
      <c r="G276" s="136"/>
      <c r="H276" s="136" t="s">
        <v>298</v>
      </c>
      <c r="I276" s="136"/>
      <c r="J276" s="21" t="s">
        <v>89</v>
      </c>
      <c r="K276" s="136"/>
      <c r="L276" s="21" t="s">
        <v>737</v>
      </c>
      <c r="M276" s="126"/>
      <c r="N276" s="56" t="s">
        <v>103</v>
      </c>
      <c r="O276" s="136"/>
      <c r="P276" s="95" t="s">
        <v>1166</v>
      </c>
      <c r="Q276" s="136"/>
      <c r="R276" s="136" t="s">
        <v>77</v>
      </c>
      <c r="S276" s="136"/>
      <c r="T276" s="58" t="s">
        <v>1162</v>
      </c>
      <c r="U276" s="136"/>
      <c r="V276" s="26" t="s">
        <v>79</v>
      </c>
      <c r="W276" s="136"/>
      <c r="X276" s="152" t="s">
        <v>80</v>
      </c>
      <c r="Y276" s="95"/>
      <c r="Z276" s="26" t="s">
        <v>79</v>
      </c>
      <c r="AA276" s="95"/>
      <c r="AB276" s="150" t="s">
        <v>80</v>
      </c>
      <c r="AC276" s="126"/>
      <c r="AD276" s="153" t="s">
        <v>1163</v>
      </c>
      <c r="AE276" s="126"/>
    </row>
    <row r="277" spans="1:31" customFormat="1" ht="68.099999999999994">
      <c r="A277" s="139"/>
      <c r="B277" s="95" t="s">
        <v>1124</v>
      </c>
      <c r="C277" s="126"/>
      <c r="D277" s="95" t="s">
        <v>1160</v>
      </c>
      <c r="E277" s="126"/>
      <c r="F277" s="136" t="s">
        <v>254</v>
      </c>
      <c r="G277" s="136"/>
      <c r="H277" s="136" t="s">
        <v>364</v>
      </c>
      <c r="I277" s="136"/>
      <c r="J277" s="21" t="s">
        <v>89</v>
      </c>
      <c r="K277" s="136"/>
      <c r="L277" s="21" t="s">
        <v>737</v>
      </c>
      <c r="M277" s="126"/>
      <c r="N277" s="56" t="s">
        <v>103</v>
      </c>
      <c r="O277" s="136"/>
      <c r="P277" s="95" t="s">
        <v>1167</v>
      </c>
      <c r="Q277" s="136"/>
      <c r="R277" s="136" t="s">
        <v>77</v>
      </c>
      <c r="S277" s="136"/>
      <c r="T277" s="58" t="s">
        <v>1162</v>
      </c>
      <c r="U277" s="136"/>
      <c r="V277" s="26" t="s">
        <v>79</v>
      </c>
      <c r="W277" s="154"/>
      <c r="X277" s="150" t="s">
        <v>80</v>
      </c>
      <c r="Y277" s="95"/>
      <c r="Z277" s="26" t="s">
        <v>79</v>
      </c>
      <c r="AA277" s="95"/>
      <c r="AB277" s="150" t="s">
        <v>80</v>
      </c>
      <c r="AC277" s="126"/>
      <c r="AD277" s="153" t="s">
        <v>1163</v>
      </c>
      <c r="AE277" s="126"/>
    </row>
    <row r="278" spans="1:31" customFormat="1" ht="135.94999999999999">
      <c r="A278" s="139"/>
      <c r="B278" s="95" t="s">
        <v>1126</v>
      </c>
      <c r="C278" s="126"/>
      <c r="D278" s="95" t="s">
        <v>1160</v>
      </c>
      <c r="E278" s="126"/>
      <c r="F278" s="136" t="s">
        <v>254</v>
      </c>
      <c r="G278" s="136"/>
      <c r="H278" s="136" t="s">
        <v>364</v>
      </c>
      <c r="I278" s="136"/>
      <c r="J278" s="21" t="s">
        <v>89</v>
      </c>
      <c r="K278" s="136"/>
      <c r="L278" s="21" t="s">
        <v>737</v>
      </c>
      <c r="M278" s="126"/>
      <c r="N278" s="56" t="s">
        <v>103</v>
      </c>
      <c r="O278" s="136"/>
      <c r="P278" s="95" t="s">
        <v>1168</v>
      </c>
      <c r="Q278" s="136"/>
      <c r="R278" s="136" t="s">
        <v>77</v>
      </c>
      <c r="S278" s="136"/>
      <c r="T278" s="58" t="s">
        <v>1162</v>
      </c>
      <c r="U278" s="136"/>
      <c r="V278" s="26" t="s">
        <v>79</v>
      </c>
      <c r="W278" s="136"/>
      <c r="X278" s="150" t="s">
        <v>80</v>
      </c>
      <c r="Y278" s="95"/>
      <c r="Z278" s="26" t="s">
        <v>79</v>
      </c>
      <c r="AA278" s="95"/>
      <c r="AB278" s="150" t="s">
        <v>80</v>
      </c>
      <c r="AC278" s="126"/>
      <c r="AD278" s="153" t="s">
        <v>1163</v>
      </c>
      <c r="AE278" s="126"/>
    </row>
    <row r="279" spans="1:31" customFormat="1" ht="51">
      <c r="A279" s="139"/>
      <c r="B279" s="95" t="s">
        <v>1128</v>
      </c>
      <c r="C279" s="126"/>
      <c r="D279" s="95" t="s">
        <v>1160</v>
      </c>
      <c r="E279" s="126"/>
      <c r="F279" s="136" t="s">
        <v>254</v>
      </c>
      <c r="G279" s="136"/>
      <c r="H279" s="136" t="s">
        <v>364</v>
      </c>
      <c r="I279" s="136"/>
      <c r="J279" s="21" t="s">
        <v>89</v>
      </c>
      <c r="K279" s="136"/>
      <c r="L279" s="21" t="s">
        <v>737</v>
      </c>
      <c r="M279" s="126"/>
      <c r="N279" s="56" t="s">
        <v>103</v>
      </c>
      <c r="O279" s="136"/>
      <c r="P279" s="95" t="s">
        <v>1169</v>
      </c>
      <c r="Q279" s="136"/>
      <c r="R279" s="136" t="s">
        <v>77</v>
      </c>
      <c r="S279" s="136"/>
      <c r="T279" s="58" t="s">
        <v>1162</v>
      </c>
      <c r="U279" s="136"/>
      <c r="V279" s="26" t="s">
        <v>79</v>
      </c>
      <c r="W279" s="136"/>
      <c r="X279" s="150" t="s">
        <v>80</v>
      </c>
      <c r="Y279" s="95"/>
      <c r="Z279" s="26" t="s">
        <v>79</v>
      </c>
      <c r="AA279" s="95"/>
      <c r="AB279" s="150" t="s">
        <v>80</v>
      </c>
      <c r="AC279" s="126"/>
      <c r="AD279" s="153" t="s">
        <v>1163</v>
      </c>
      <c r="AE279" s="126"/>
    </row>
    <row r="280" spans="1:31" customFormat="1" ht="51">
      <c r="A280" s="139"/>
      <c r="B280" s="95" t="s">
        <v>1130</v>
      </c>
      <c r="C280" s="126"/>
      <c r="D280" s="95" t="s">
        <v>1160</v>
      </c>
      <c r="E280" s="126"/>
      <c r="F280" s="136" t="s">
        <v>254</v>
      </c>
      <c r="G280" s="136"/>
      <c r="H280" s="136" t="s">
        <v>291</v>
      </c>
      <c r="I280" s="136"/>
      <c r="J280" s="21" t="s">
        <v>89</v>
      </c>
      <c r="K280" s="136"/>
      <c r="L280" s="21" t="s">
        <v>737</v>
      </c>
      <c r="M280" s="126"/>
      <c r="N280" s="56" t="s">
        <v>185</v>
      </c>
      <c r="O280" s="136"/>
      <c r="P280" s="95" t="s">
        <v>1170</v>
      </c>
      <c r="Q280" s="136"/>
      <c r="R280" s="136" t="s">
        <v>77</v>
      </c>
      <c r="S280" s="136"/>
      <c r="T280" s="58" t="s">
        <v>1162</v>
      </c>
      <c r="U280" s="136"/>
      <c r="V280" s="26" t="s">
        <v>79</v>
      </c>
      <c r="W280" s="136"/>
      <c r="X280" s="150" t="s">
        <v>80</v>
      </c>
      <c r="Y280" s="95"/>
      <c r="Z280" s="26" t="s">
        <v>79</v>
      </c>
      <c r="AA280" s="95"/>
      <c r="AB280" s="150" t="s">
        <v>80</v>
      </c>
      <c r="AC280" s="126"/>
      <c r="AD280" s="153" t="s">
        <v>1163</v>
      </c>
      <c r="AE280" s="126"/>
    </row>
    <row r="281" spans="1:31" customFormat="1" ht="51">
      <c r="A281" s="139"/>
      <c r="B281" s="95" t="s">
        <v>1153</v>
      </c>
      <c r="C281" s="126"/>
      <c r="D281" s="95" t="s">
        <v>1160</v>
      </c>
      <c r="E281" s="126"/>
      <c r="F281" s="136" t="s">
        <v>254</v>
      </c>
      <c r="G281" s="136"/>
      <c r="H281" s="136" t="s">
        <v>291</v>
      </c>
      <c r="I281" s="136"/>
      <c r="J281" s="21" t="s">
        <v>89</v>
      </c>
      <c r="K281" s="136"/>
      <c r="L281" s="21" t="s">
        <v>737</v>
      </c>
      <c r="M281" s="126"/>
      <c r="N281" s="56" t="s">
        <v>185</v>
      </c>
      <c r="O281" s="136"/>
      <c r="P281" s="95" t="s">
        <v>1171</v>
      </c>
      <c r="Q281" s="136"/>
      <c r="R281" s="136" t="s">
        <v>77</v>
      </c>
      <c r="S281" s="136"/>
      <c r="T281" s="58" t="s">
        <v>1162</v>
      </c>
      <c r="U281" s="136"/>
      <c r="V281" s="26" t="s">
        <v>79</v>
      </c>
      <c r="W281" s="136"/>
      <c r="X281" s="150" t="s">
        <v>80</v>
      </c>
      <c r="Y281" s="95"/>
      <c r="Z281" s="26" t="s">
        <v>79</v>
      </c>
      <c r="AA281" s="95"/>
      <c r="AB281" s="153" t="s">
        <v>753</v>
      </c>
      <c r="AC281" s="126"/>
      <c r="AD281" s="153" t="s">
        <v>1163</v>
      </c>
      <c r="AE281" s="126"/>
    </row>
    <row r="282" spans="1:31" customFormat="1" ht="57.95" customHeight="1">
      <c r="A282" s="139"/>
      <c r="B282" s="95" t="s">
        <v>1172</v>
      </c>
      <c r="C282" s="126"/>
      <c r="D282" s="95" t="s">
        <v>1160</v>
      </c>
      <c r="E282" s="126"/>
      <c r="F282" s="136" t="s">
        <v>254</v>
      </c>
      <c r="G282" s="136"/>
      <c r="H282" s="136" t="s">
        <v>291</v>
      </c>
      <c r="I282" s="136"/>
      <c r="J282" s="155" t="s">
        <v>89</v>
      </c>
      <c r="K282" s="136"/>
      <c r="L282" s="21" t="s">
        <v>737</v>
      </c>
      <c r="M282" s="126"/>
      <c r="N282" s="56" t="s">
        <v>185</v>
      </c>
      <c r="O282" s="136"/>
      <c r="P282" s="95" t="s">
        <v>1173</v>
      </c>
      <c r="Q282" s="136"/>
      <c r="R282" s="136" t="s">
        <v>77</v>
      </c>
      <c r="S282" s="136"/>
      <c r="T282" s="58" t="s">
        <v>1162</v>
      </c>
      <c r="U282" s="136"/>
      <c r="V282" s="26" t="s">
        <v>79</v>
      </c>
      <c r="W282" s="136"/>
      <c r="X282" s="150" t="s">
        <v>80</v>
      </c>
      <c r="Y282" s="95"/>
      <c r="Z282" s="26" t="s">
        <v>79</v>
      </c>
      <c r="AA282" s="95"/>
      <c r="AB282" s="150" t="s">
        <v>80</v>
      </c>
      <c r="AC282" s="126"/>
      <c r="AD282" s="153" t="s">
        <v>1163</v>
      </c>
      <c r="AE282" s="126"/>
    </row>
    <row r="283" spans="1:31" customFormat="1" ht="84.95">
      <c r="A283" s="139"/>
      <c r="B283" s="95" t="s">
        <v>1156</v>
      </c>
      <c r="C283" s="126"/>
      <c r="D283" s="95" t="s">
        <v>1160</v>
      </c>
      <c r="E283" s="126"/>
      <c r="F283" s="136" t="s">
        <v>254</v>
      </c>
      <c r="G283" s="136"/>
      <c r="H283" s="136" t="s">
        <v>291</v>
      </c>
      <c r="I283" s="136"/>
      <c r="J283" s="156" t="s">
        <v>89</v>
      </c>
      <c r="K283" s="136"/>
      <c r="L283" s="21" t="s">
        <v>737</v>
      </c>
      <c r="M283" s="126"/>
      <c r="N283" s="56" t="s">
        <v>185</v>
      </c>
      <c r="O283" s="136"/>
      <c r="P283" s="95" t="s">
        <v>1135</v>
      </c>
      <c r="Q283" s="136"/>
      <c r="R283" s="136" t="s">
        <v>77</v>
      </c>
      <c r="S283" s="136"/>
      <c r="T283" s="58" t="s">
        <v>1162</v>
      </c>
      <c r="U283" s="136"/>
      <c r="V283" s="26" t="s">
        <v>79</v>
      </c>
      <c r="W283" s="136"/>
      <c r="X283" s="150" t="s">
        <v>80</v>
      </c>
      <c r="Y283" s="95"/>
      <c r="Z283" s="157" t="s">
        <v>79</v>
      </c>
      <c r="AA283" s="95"/>
      <c r="AB283" s="150" t="s">
        <v>80</v>
      </c>
      <c r="AC283" s="126"/>
      <c r="AD283" s="153" t="s">
        <v>1163</v>
      </c>
      <c r="AE283" s="126"/>
    </row>
    <row r="284" spans="1:31" customFormat="1" ht="68.099999999999994">
      <c r="A284" s="139"/>
      <c r="B284" s="95" t="s">
        <v>1174</v>
      </c>
      <c r="C284" s="126"/>
      <c r="D284" s="126" t="s">
        <v>1175</v>
      </c>
      <c r="E284" s="126"/>
      <c r="F284" s="136" t="s">
        <v>254</v>
      </c>
      <c r="G284" s="136"/>
      <c r="H284" s="136" t="s">
        <v>262</v>
      </c>
      <c r="I284" s="136"/>
      <c r="J284" s="156" t="s">
        <v>89</v>
      </c>
      <c r="K284" s="136"/>
      <c r="L284" s="136" t="s">
        <v>737</v>
      </c>
      <c r="M284" s="126"/>
      <c r="N284" s="56" t="s">
        <v>103</v>
      </c>
      <c r="O284" s="136"/>
      <c r="P284" s="95" t="s">
        <v>1176</v>
      </c>
      <c r="Q284" s="136"/>
      <c r="R284" s="136" t="s">
        <v>77</v>
      </c>
      <c r="S284" s="136"/>
      <c r="T284" s="58" t="s">
        <v>1177</v>
      </c>
      <c r="U284" s="136"/>
      <c r="V284" s="149" t="s">
        <v>79</v>
      </c>
      <c r="W284" s="136"/>
      <c r="X284" s="150" t="s">
        <v>80</v>
      </c>
      <c r="Y284" s="95"/>
      <c r="Z284" s="150" t="s">
        <v>79</v>
      </c>
      <c r="AA284" s="95"/>
      <c r="AB284" s="150" t="s">
        <v>80</v>
      </c>
      <c r="AC284" s="126"/>
      <c r="AD284" s="153" t="s">
        <v>1178</v>
      </c>
      <c r="AE284" s="126"/>
    </row>
    <row r="285" spans="1:31" customFormat="1" ht="51">
      <c r="A285" s="139"/>
      <c r="B285" s="95" t="s">
        <v>1120</v>
      </c>
      <c r="C285" s="126"/>
      <c r="D285" s="126" t="s">
        <v>1175</v>
      </c>
      <c r="E285" s="126"/>
      <c r="F285" s="136" t="s">
        <v>254</v>
      </c>
      <c r="G285" s="136"/>
      <c r="H285" s="136" t="s">
        <v>364</v>
      </c>
      <c r="I285" s="136"/>
      <c r="J285" s="156" t="s">
        <v>89</v>
      </c>
      <c r="K285" s="136"/>
      <c r="L285" s="21" t="s">
        <v>737</v>
      </c>
      <c r="M285" s="126"/>
      <c r="N285" s="56" t="s">
        <v>103</v>
      </c>
      <c r="O285" s="136"/>
      <c r="P285" s="95" t="s">
        <v>1179</v>
      </c>
      <c r="Q285" s="136"/>
      <c r="R285" s="136" t="s">
        <v>77</v>
      </c>
      <c r="S285" s="136"/>
      <c r="T285" s="58" t="s">
        <v>1180</v>
      </c>
      <c r="U285" s="136"/>
      <c r="V285" s="150" t="s">
        <v>79</v>
      </c>
      <c r="W285" s="136"/>
      <c r="X285" s="150" t="s">
        <v>80</v>
      </c>
      <c r="Y285" s="95"/>
      <c r="Z285" s="150" t="s">
        <v>79</v>
      </c>
      <c r="AA285" s="95"/>
      <c r="AB285" s="150" t="s">
        <v>80</v>
      </c>
      <c r="AC285" s="126"/>
      <c r="AD285" s="153" t="s">
        <v>1178</v>
      </c>
      <c r="AE285" s="126"/>
    </row>
    <row r="286" spans="1:31" customFormat="1" ht="84.95">
      <c r="A286" s="139"/>
      <c r="B286" s="95" t="s">
        <v>1124</v>
      </c>
      <c r="C286" s="126"/>
      <c r="D286" s="126" t="s">
        <v>1175</v>
      </c>
      <c r="E286" s="126"/>
      <c r="F286" s="136" t="s">
        <v>254</v>
      </c>
      <c r="G286" s="136"/>
      <c r="H286" s="136" t="s">
        <v>364</v>
      </c>
      <c r="I286" s="136"/>
      <c r="J286" s="158" t="s">
        <v>89</v>
      </c>
      <c r="K286" s="136"/>
      <c r="L286" s="21" t="s">
        <v>737</v>
      </c>
      <c r="M286" s="126"/>
      <c r="N286" s="56" t="s">
        <v>103</v>
      </c>
      <c r="O286" s="136"/>
      <c r="P286" s="95" t="s">
        <v>1181</v>
      </c>
      <c r="Q286" s="136"/>
      <c r="R286" s="136" t="s">
        <v>77</v>
      </c>
      <c r="S286" s="136"/>
      <c r="T286" s="58" t="s">
        <v>1182</v>
      </c>
      <c r="U286" s="136"/>
      <c r="V286" s="150" t="s">
        <v>79</v>
      </c>
      <c r="W286" s="136"/>
      <c r="X286" s="150" t="s">
        <v>80</v>
      </c>
      <c r="Y286" s="95"/>
      <c r="Z286" s="150" t="s">
        <v>79</v>
      </c>
      <c r="AA286" s="95"/>
      <c r="AB286" s="150" t="s">
        <v>80</v>
      </c>
      <c r="AC286" s="126"/>
      <c r="AD286" s="153" t="s">
        <v>1178</v>
      </c>
      <c r="AE286" s="126"/>
    </row>
    <row r="287" spans="1:31" customFormat="1" ht="135.94999999999999">
      <c r="A287" s="139"/>
      <c r="B287" s="95" t="s">
        <v>1145</v>
      </c>
      <c r="C287" s="126"/>
      <c r="D287" s="126" t="s">
        <v>1175</v>
      </c>
      <c r="E287" s="126"/>
      <c r="F287" s="136" t="s">
        <v>254</v>
      </c>
      <c r="G287" s="136"/>
      <c r="H287" s="136" t="s">
        <v>364</v>
      </c>
      <c r="I287" s="136"/>
      <c r="J287" s="21" t="s">
        <v>89</v>
      </c>
      <c r="K287" s="136"/>
      <c r="L287" s="21" t="s">
        <v>737</v>
      </c>
      <c r="M287" s="126"/>
      <c r="N287" s="56" t="s">
        <v>103</v>
      </c>
      <c r="O287" s="136"/>
      <c r="P287" s="95" t="s">
        <v>1183</v>
      </c>
      <c r="Q287" s="136"/>
      <c r="R287" s="136" t="s">
        <v>77</v>
      </c>
      <c r="S287" s="136"/>
      <c r="T287" s="58" t="s">
        <v>1184</v>
      </c>
      <c r="U287" s="136"/>
      <c r="V287" s="150" t="s">
        <v>79</v>
      </c>
      <c r="W287" s="136"/>
      <c r="X287" s="150" t="s">
        <v>80</v>
      </c>
      <c r="Y287" s="95"/>
      <c r="Z287" s="150" t="s">
        <v>79</v>
      </c>
      <c r="AA287" s="95"/>
      <c r="AB287" s="150" t="s">
        <v>80</v>
      </c>
      <c r="AC287" s="126"/>
      <c r="AD287" s="153" t="s">
        <v>1178</v>
      </c>
      <c r="AE287" s="126"/>
    </row>
    <row r="288" spans="1:31" customFormat="1" ht="51">
      <c r="A288" s="139"/>
      <c r="B288" s="95" t="s">
        <v>1148</v>
      </c>
      <c r="C288" s="126"/>
      <c r="D288" s="126" t="s">
        <v>1175</v>
      </c>
      <c r="E288" s="126"/>
      <c r="F288" s="136" t="s">
        <v>254</v>
      </c>
      <c r="G288" s="136"/>
      <c r="H288" s="136" t="s">
        <v>364</v>
      </c>
      <c r="I288" s="136"/>
      <c r="J288" s="155" t="s">
        <v>89</v>
      </c>
      <c r="K288" s="136"/>
      <c r="L288" s="21" t="s">
        <v>737</v>
      </c>
      <c r="M288" s="126"/>
      <c r="N288" s="56" t="s">
        <v>103</v>
      </c>
      <c r="O288" s="136"/>
      <c r="P288" s="95" t="s">
        <v>1185</v>
      </c>
      <c r="Q288" s="136"/>
      <c r="R288" s="136" t="s">
        <v>77</v>
      </c>
      <c r="S288" s="136"/>
      <c r="T288" s="58" t="s">
        <v>1186</v>
      </c>
      <c r="U288" s="136"/>
      <c r="V288" s="150" t="s">
        <v>79</v>
      </c>
      <c r="W288" s="136"/>
      <c r="X288" s="150" t="s">
        <v>80</v>
      </c>
      <c r="Y288" s="95"/>
      <c r="Z288" s="150" t="s">
        <v>79</v>
      </c>
      <c r="AA288" s="95"/>
      <c r="AB288" s="150" t="s">
        <v>80</v>
      </c>
      <c r="AC288" s="126"/>
      <c r="AD288" s="153" t="s">
        <v>1178</v>
      </c>
      <c r="AE288" s="126"/>
    </row>
    <row r="289" spans="1:31" customFormat="1" ht="68.099999999999994">
      <c r="A289" s="139"/>
      <c r="B289" s="95" t="s">
        <v>1130</v>
      </c>
      <c r="C289" s="126"/>
      <c r="D289" s="126" t="s">
        <v>1175</v>
      </c>
      <c r="E289" s="126"/>
      <c r="F289" s="136" t="s">
        <v>254</v>
      </c>
      <c r="G289" s="136"/>
      <c r="H289" s="136" t="s">
        <v>291</v>
      </c>
      <c r="I289" s="136"/>
      <c r="J289" s="156" t="s">
        <v>89</v>
      </c>
      <c r="K289" s="136"/>
      <c r="L289" s="21" t="s">
        <v>737</v>
      </c>
      <c r="M289" s="126"/>
      <c r="N289" s="56" t="s">
        <v>185</v>
      </c>
      <c r="O289" s="136"/>
      <c r="P289" s="95" t="s">
        <v>1187</v>
      </c>
      <c r="Q289" s="136"/>
      <c r="R289" s="136" t="s">
        <v>77</v>
      </c>
      <c r="S289" s="136"/>
      <c r="T289" s="58" t="s">
        <v>1188</v>
      </c>
      <c r="U289" s="136"/>
      <c r="V289" s="150" t="s">
        <v>79</v>
      </c>
      <c r="W289" s="143"/>
      <c r="X289" s="150" t="s">
        <v>80</v>
      </c>
      <c r="Y289" s="95"/>
      <c r="Z289" s="150" t="s">
        <v>79</v>
      </c>
      <c r="AA289" s="95"/>
      <c r="AB289" s="150" t="s">
        <v>80</v>
      </c>
      <c r="AC289" s="126"/>
      <c r="AD289" s="153" t="s">
        <v>1178</v>
      </c>
      <c r="AE289" s="126"/>
    </row>
    <row r="290" spans="1:31" customFormat="1" ht="51">
      <c r="A290" s="139"/>
      <c r="B290" s="95" t="s">
        <v>1153</v>
      </c>
      <c r="C290" s="126"/>
      <c r="D290" s="126" t="s">
        <v>1175</v>
      </c>
      <c r="E290" s="126"/>
      <c r="F290" s="136" t="s">
        <v>254</v>
      </c>
      <c r="G290" s="136"/>
      <c r="H290" s="136" t="s">
        <v>291</v>
      </c>
      <c r="I290" s="136"/>
      <c r="J290" s="156" t="s">
        <v>89</v>
      </c>
      <c r="K290" s="136"/>
      <c r="L290" s="21" t="s">
        <v>737</v>
      </c>
      <c r="M290" s="126"/>
      <c r="N290" s="56" t="s">
        <v>185</v>
      </c>
      <c r="O290" s="136"/>
      <c r="P290" s="95" t="s">
        <v>1189</v>
      </c>
      <c r="Q290" s="136"/>
      <c r="R290" s="136" t="s">
        <v>77</v>
      </c>
      <c r="S290" s="136"/>
      <c r="T290" s="58" t="s">
        <v>1190</v>
      </c>
      <c r="U290" s="136"/>
      <c r="V290" s="150" t="s">
        <v>79</v>
      </c>
      <c r="W290" s="154"/>
      <c r="X290" s="150" t="s">
        <v>80</v>
      </c>
      <c r="Y290" s="95"/>
      <c r="Z290" s="150" t="s">
        <v>79</v>
      </c>
      <c r="AA290" s="95"/>
      <c r="AB290" s="153" t="s">
        <v>753</v>
      </c>
      <c r="AC290" s="126"/>
      <c r="AD290" s="153" t="s">
        <v>1178</v>
      </c>
      <c r="AE290" s="126"/>
    </row>
    <row r="291" spans="1:31" customFormat="1" ht="84.95">
      <c r="A291" s="139"/>
      <c r="B291" s="95" t="s">
        <v>1156</v>
      </c>
      <c r="C291" s="126"/>
      <c r="D291" s="126" t="s">
        <v>1175</v>
      </c>
      <c r="E291" s="126"/>
      <c r="F291" s="136" t="s">
        <v>254</v>
      </c>
      <c r="G291" s="136"/>
      <c r="H291" s="136" t="s">
        <v>291</v>
      </c>
      <c r="I291" s="136"/>
      <c r="J291" s="156" t="s">
        <v>89</v>
      </c>
      <c r="K291" s="136"/>
      <c r="L291" s="21" t="s">
        <v>737</v>
      </c>
      <c r="M291" s="126"/>
      <c r="N291" s="56" t="s">
        <v>185</v>
      </c>
      <c r="O291" s="136"/>
      <c r="P291" s="95" t="s">
        <v>1135</v>
      </c>
      <c r="Q291" s="136"/>
      <c r="R291" s="136" t="s">
        <v>77</v>
      </c>
      <c r="S291" s="136"/>
      <c r="T291" s="58" t="s">
        <v>1191</v>
      </c>
      <c r="U291" s="136"/>
      <c r="V291" s="150" t="s">
        <v>79</v>
      </c>
      <c r="W291" s="136"/>
      <c r="X291" s="150" t="s">
        <v>80</v>
      </c>
      <c r="Y291" s="95"/>
      <c r="Z291" s="150" t="s">
        <v>79</v>
      </c>
      <c r="AA291" s="95"/>
      <c r="AB291" s="150" t="s">
        <v>80</v>
      </c>
      <c r="AC291" s="126"/>
      <c r="AD291" s="153" t="s">
        <v>1178</v>
      </c>
      <c r="AE291" s="126"/>
    </row>
    <row r="292" spans="1:31" ht="68.099999999999994">
      <c r="B292" s="159" t="s">
        <v>1192</v>
      </c>
      <c r="C292" s="160"/>
      <c r="D292" s="159" t="s">
        <v>1193</v>
      </c>
      <c r="E292" s="160"/>
      <c r="F292" s="161" t="s">
        <v>254</v>
      </c>
      <c r="G292" s="160"/>
      <c r="H292" s="159" t="s">
        <v>262</v>
      </c>
      <c r="I292" s="160"/>
      <c r="J292" s="21" t="s">
        <v>89</v>
      </c>
      <c r="K292" s="160"/>
      <c r="L292" s="159" t="s">
        <v>737</v>
      </c>
      <c r="M292" s="160"/>
      <c r="N292" s="159" t="s">
        <v>103</v>
      </c>
      <c r="O292" s="160"/>
      <c r="P292" s="159" t="s">
        <v>1194</v>
      </c>
      <c r="Q292" s="160"/>
      <c r="R292" s="159" t="s">
        <v>77</v>
      </c>
      <c r="S292" s="160"/>
      <c r="T292" s="58" t="s">
        <v>1195</v>
      </c>
      <c r="U292" s="162"/>
      <c r="V292" s="26" t="s">
        <v>79</v>
      </c>
      <c r="W292" s="163"/>
      <c r="X292" s="26" t="s">
        <v>80</v>
      </c>
      <c r="Y292" s="163"/>
      <c r="Z292" s="26" t="s">
        <v>79</v>
      </c>
      <c r="AA292" s="163"/>
      <c r="AB292" s="26" t="s">
        <v>80</v>
      </c>
      <c r="AC292" s="162"/>
      <c r="AD292" s="23" t="s">
        <v>1196</v>
      </c>
      <c r="AE292" s="126"/>
    </row>
    <row r="293" spans="1:31" ht="51">
      <c r="B293" s="21" t="s">
        <v>1120</v>
      </c>
      <c r="C293" s="20"/>
      <c r="D293" s="21" t="s">
        <v>1193</v>
      </c>
      <c r="E293" s="20"/>
      <c r="F293" s="23" t="s">
        <v>254</v>
      </c>
      <c r="H293" s="21" t="s">
        <v>364</v>
      </c>
      <c r="J293" s="21" t="s">
        <v>89</v>
      </c>
      <c r="L293" s="21" t="s">
        <v>737</v>
      </c>
      <c r="N293" s="21" t="s">
        <v>103</v>
      </c>
      <c r="P293" s="21" t="s">
        <v>1197</v>
      </c>
      <c r="R293" s="21" t="s">
        <v>77</v>
      </c>
      <c r="S293" s="20"/>
      <c r="T293" s="58" t="s">
        <v>1195</v>
      </c>
      <c r="V293" s="26" t="s">
        <v>79</v>
      </c>
      <c r="W293" s="60"/>
      <c r="X293" s="26" t="s">
        <v>80</v>
      </c>
      <c r="Y293" s="60"/>
      <c r="Z293" s="26" t="s">
        <v>79</v>
      </c>
      <c r="AA293" s="60"/>
      <c r="AB293" s="26" t="s">
        <v>80</v>
      </c>
      <c r="AC293" s="60"/>
      <c r="AD293" s="23" t="s">
        <v>1198</v>
      </c>
      <c r="AE293" s="126"/>
    </row>
    <row r="294" spans="1:31" ht="51">
      <c r="B294" s="21" t="s">
        <v>1199</v>
      </c>
      <c r="C294" s="20"/>
      <c r="D294" s="21" t="s">
        <v>1193</v>
      </c>
      <c r="E294" s="20"/>
      <c r="F294" s="23" t="s">
        <v>254</v>
      </c>
      <c r="H294" s="21" t="s">
        <v>298</v>
      </c>
      <c r="J294" s="21" t="s">
        <v>89</v>
      </c>
      <c r="L294" s="21" t="s">
        <v>737</v>
      </c>
      <c r="N294" s="21" t="s">
        <v>103</v>
      </c>
      <c r="P294" s="21" t="s">
        <v>1200</v>
      </c>
      <c r="R294" s="21" t="s">
        <v>77</v>
      </c>
      <c r="S294" s="20"/>
      <c r="T294" s="58" t="s">
        <v>1195</v>
      </c>
      <c r="V294" s="26" t="s">
        <v>79</v>
      </c>
      <c r="W294" s="60"/>
      <c r="X294" s="26" t="s">
        <v>80</v>
      </c>
      <c r="Y294" s="60"/>
      <c r="Z294" s="26" t="s">
        <v>79</v>
      </c>
      <c r="AA294" s="60"/>
      <c r="AB294" s="26" t="s">
        <v>80</v>
      </c>
      <c r="AC294" s="60"/>
      <c r="AD294" s="23" t="s">
        <v>1201</v>
      </c>
      <c r="AE294" s="160"/>
    </row>
    <row r="295" spans="1:31" ht="51">
      <c r="B295" s="21" t="s">
        <v>1124</v>
      </c>
      <c r="C295" s="20"/>
      <c r="D295" s="21" t="s">
        <v>1193</v>
      </c>
      <c r="E295" s="20"/>
      <c r="F295" s="23" t="s">
        <v>254</v>
      </c>
      <c r="H295" s="21" t="s">
        <v>364</v>
      </c>
      <c r="J295" s="21" t="s">
        <v>89</v>
      </c>
      <c r="L295" s="21" t="s">
        <v>737</v>
      </c>
      <c r="N295" s="21" t="s">
        <v>103</v>
      </c>
      <c r="P295" s="21" t="s">
        <v>1202</v>
      </c>
      <c r="R295" s="21" t="s">
        <v>77</v>
      </c>
      <c r="S295" s="20"/>
      <c r="T295" s="58" t="s">
        <v>1195</v>
      </c>
      <c r="V295" s="26" t="s">
        <v>79</v>
      </c>
      <c r="W295" s="60"/>
      <c r="X295" s="26" t="s">
        <v>80</v>
      </c>
      <c r="Y295" s="60"/>
      <c r="Z295" s="26" t="s">
        <v>79</v>
      </c>
      <c r="AA295" s="60"/>
      <c r="AB295" s="26" t="s">
        <v>80</v>
      </c>
      <c r="AC295" s="60"/>
      <c r="AD295" s="23" t="s">
        <v>1203</v>
      </c>
    </row>
    <row r="296" spans="1:31" ht="204">
      <c r="B296" s="21" t="s">
        <v>1145</v>
      </c>
      <c r="C296" s="20"/>
      <c r="D296" s="21" t="s">
        <v>1193</v>
      </c>
      <c r="E296" s="20"/>
      <c r="F296" s="23" t="s">
        <v>254</v>
      </c>
      <c r="H296" s="21" t="s">
        <v>364</v>
      </c>
      <c r="J296" s="21" t="s">
        <v>89</v>
      </c>
      <c r="L296" s="21" t="s">
        <v>737</v>
      </c>
      <c r="N296" s="21" t="s">
        <v>103</v>
      </c>
      <c r="P296" s="21" t="s">
        <v>1204</v>
      </c>
      <c r="R296" s="21" t="s">
        <v>77</v>
      </c>
      <c r="S296" s="20"/>
      <c r="T296" s="58" t="s">
        <v>1195</v>
      </c>
      <c r="V296" s="26" t="s">
        <v>79</v>
      </c>
      <c r="W296" s="60"/>
      <c r="X296" s="26" t="s">
        <v>80</v>
      </c>
      <c r="Y296" s="60"/>
      <c r="Z296" s="26" t="s">
        <v>79</v>
      </c>
      <c r="AA296" s="60"/>
      <c r="AB296" s="26" t="s">
        <v>80</v>
      </c>
      <c r="AC296" s="60"/>
      <c r="AD296" s="23" t="s">
        <v>1205</v>
      </c>
    </row>
    <row r="297" spans="1:31" ht="51">
      <c r="B297" s="21" t="s">
        <v>1148</v>
      </c>
      <c r="C297" s="20"/>
      <c r="D297" s="21" t="s">
        <v>1193</v>
      </c>
      <c r="E297" s="20"/>
      <c r="F297" s="23" t="s">
        <v>254</v>
      </c>
      <c r="H297" s="21" t="s">
        <v>364</v>
      </c>
      <c r="J297" s="21" t="s">
        <v>89</v>
      </c>
      <c r="L297" s="21" t="s">
        <v>737</v>
      </c>
      <c r="N297" s="21" t="s">
        <v>103</v>
      </c>
      <c r="P297" s="21" t="s">
        <v>1206</v>
      </c>
      <c r="R297" s="21" t="s">
        <v>77</v>
      </c>
      <c r="S297" s="20"/>
      <c r="T297" s="58" t="s">
        <v>1195</v>
      </c>
      <c r="V297" s="26" t="s">
        <v>79</v>
      </c>
      <c r="W297" s="60"/>
      <c r="X297" s="26" t="s">
        <v>80</v>
      </c>
      <c r="Y297" s="60"/>
      <c r="Z297" s="26" t="s">
        <v>79</v>
      </c>
      <c r="AA297" s="60"/>
      <c r="AB297" s="26" t="s">
        <v>80</v>
      </c>
      <c r="AC297" s="60"/>
      <c r="AD297" s="23" t="s">
        <v>1207</v>
      </c>
    </row>
    <row r="298" spans="1:31" ht="51">
      <c r="B298" s="21" t="s">
        <v>1130</v>
      </c>
      <c r="C298" s="20"/>
      <c r="D298" s="21" t="s">
        <v>1193</v>
      </c>
      <c r="E298" s="20"/>
      <c r="F298" s="23" t="s">
        <v>254</v>
      </c>
      <c r="H298" s="21" t="s">
        <v>291</v>
      </c>
      <c r="J298" s="21" t="s">
        <v>89</v>
      </c>
      <c r="L298" s="21" t="s">
        <v>737</v>
      </c>
      <c r="N298" s="21" t="s">
        <v>185</v>
      </c>
      <c r="P298" s="21" t="s">
        <v>1208</v>
      </c>
      <c r="R298" s="21" t="s">
        <v>77</v>
      </c>
      <c r="S298" s="20"/>
      <c r="T298" s="164" t="s">
        <v>1195</v>
      </c>
      <c r="V298" s="26" t="s">
        <v>79</v>
      </c>
      <c r="W298" s="60"/>
      <c r="X298" s="26" t="s">
        <v>80</v>
      </c>
      <c r="Y298" s="60"/>
      <c r="Z298" s="26" t="s">
        <v>79</v>
      </c>
      <c r="AA298" s="60"/>
      <c r="AB298" s="26" t="s">
        <v>80</v>
      </c>
      <c r="AC298" s="60"/>
      <c r="AD298" s="23" t="s">
        <v>1209</v>
      </c>
    </row>
    <row r="299" spans="1:31" ht="51">
      <c r="B299" s="21" t="s">
        <v>1153</v>
      </c>
      <c r="C299" s="20"/>
      <c r="D299" s="21" t="s">
        <v>1193</v>
      </c>
      <c r="E299" s="20"/>
      <c r="F299" s="23" t="s">
        <v>254</v>
      </c>
      <c r="H299" s="21" t="s">
        <v>291</v>
      </c>
      <c r="J299" s="21" t="s">
        <v>89</v>
      </c>
      <c r="L299" s="21" t="s">
        <v>737</v>
      </c>
      <c r="N299" s="21" t="s">
        <v>185</v>
      </c>
      <c r="P299" s="21" t="s">
        <v>1210</v>
      </c>
      <c r="R299" s="21" t="s">
        <v>77</v>
      </c>
      <c r="S299" s="20"/>
      <c r="T299" s="58" t="s">
        <v>1195</v>
      </c>
      <c r="V299" s="26" t="s">
        <v>79</v>
      </c>
      <c r="W299" s="60"/>
      <c r="X299" s="26" t="s">
        <v>80</v>
      </c>
      <c r="Y299" s="60"/>
      <c r="Z299" s="26" t="s">
        <v>79</v>
      </c>
      <c r="AA299" s="60"/>
      <c r="AB299" s="23" t="s">
        <v>753</v>
      </c>
      <c r="AC299" s="60"/>
      <c r="AD299" s="23" t="s">
        <v>1211</v>
      </c>
    </row>
    <row r="300" spans="1:31" ht="84.95">
      <c r="B300" s="21" t="s">
        <v>1156</v>
      </c>
      <c r="C300" s="20"/>
      <c r="D300" s="21" t="s">
        <v>1193</v>
      </c>
      <c r="E300" s="20"/>
      <c r="F300" s="23" t="s">
        <v>254</v>
      </c>
      <c r="H300" s="21" t="s">
        <v>291</v>
      </c>
      <c r="J300" s="21" t="s">
        <v>89</v>
      </c>
      <c r="L300" s="21" t="s">
        <v>737</v>
      </c>
      <c r="N300" s="21" t="s">
        <v>185</v>
      </c>
      <c r="P300" s="21" t="s">
        <v>1135</v>
      </c>
      <c r="R300" s="21" t="s">
        <v>77</v>
      </c>
      <c r="S300" s="20"/>
      <c r="T300" s="58" t="s">
        <v>1195</v>
      </c>
      <c r="V300" s="26" t="s">
        <v>79</v>
      </c>
      <c r="W300" s="60"/>
      <c r="X300" s="26" t="s">
        <v>80</v>
      </c>
      <c r="Y300" s="60"/>
      <c r="Z300" s="26" t="s">
        <v>79</v>
      </c>
      <c r="AA300" s="60"/>
      <c r="AB300" s="26" t="s">
        <v>80</v>
      </c>
      <c r="AC300" s="60"/>
      <c r="AD300" s="23" t="s">
        <v>1212</v>
      </c>
    </row>
    <row r="301" spans="1:31" ht="68.099999999999994">
      <c r="B301" s="21" t="s">
        <v>1213</v>
      </c>
      <c r="C301" s="20"/>
      <c r="D301" s="21" t="s">
        <v>1214</v>
      </c>
      <c r="E301" s="20"/>
      <c r="F301" s="23" t="s">
        <v>254</v>
      </c>
      <c r="H301" s="21" t="s">
        <v>262</v>
      </c>
      <c r="J301" s="21" t="s">
        <v>89</v>
      </c>
      <c r="L301" s="21" t="s">
        <v>737</v>
      </c>
      <c r="N301" s="21" t="s">
        <v>103</v>
      </c>
      <c r="P301" s="21" t="s">
        <v>1215</v>
      </c>
      <c r="R301" s="21" t="s">
        <v>77</v>
      </c>
      <c r="S301" s="20"/>
      <c r="T301" s="58" t="s">
        <v>1216</v>
      </c>
      <c r="V301" s="26" t="s">
        <v>79</v>
      </c>
      <c r="W301" s="60"/>
      <c r="X301" s="26" t="s">
        <v>80</v>
      </c>
      <c r="Y301" s="60"/>
      <c r="Z301" s="26" t="s">
        <v>79</v>
      </c>
      <c r="AA301" s="60"/>
      <c r="AB301" s="26" t="s">
        <v>80</v>
      </c>
      <c r="AD301" s="23" t="s">
        <v>1217</v>
      </c>
    </row>
    <row r="302" spans="1:31" ht="48.95" customHeight="1">
      <c r="B302" s="21" t="s">
        <v>1120</v>
      </c>
      <c r="C302" s="20"/>
      <c r="D302" s="21" t="s">
        <v>1214</v>
      </c>
      <c r="E302" s="20"/>
      <c r="F302" s="23" t="s">
        <v>254</v>
      </c>
      <c r="H302" s="21" t="s">
        <v>364</v>
      </c>
      <c r="J302" s="21" t="s">
        <v>89</v>
      </c>
      <c r="L302" s="21" t="s">
        <v>737</v>
      </c>
      <c r="N302" s="21" t="s">
        <v>103</v>
      </c>
      <c r="P302" s="21" t="s">
        <v>1218</v>
      </c>
      <c r="R302" s="21" t="s">
        <v>77</v>
      </c>
      <c r="S302" s="20"/>
      <c r="T302" s="58" t="s">
        <v>1216</v>
      </c>
      <c r="V302" s="26" t="s">
        <v>79</v>
      </c>
      <c r="W302" s="60"/>
      <c r="X302" s="26" t="s">
        <v>80</v>
      </c>
      <c r="Y302" s="60"/>
      <c r="Z302" s="26" t="s">
        <v>79</v>
      </c>
      <c r="AA302" s="60"/>
      <c r="AB302" s="26" t="s">
        <v>80</v>
      </c>
      <c r="AC302" s="60"/>
      <c r="AD302" s="23" t="s">
        <v>1219</v>
      </c>
    </row>
    <row r="303" spans="1:31" ht="54" customHeight="1">
      <c r="B303" s="21" t="s">
        <v>1199</v>
      </c>
      <c r="C303" s="20"/>
      <c r="D303" s="21" t="s">
        <v>1214</v>
      </c>
      <c r="E303" s="20"/>
      <c r="F303" s="23" t="s">
        <v>254</v>
      </c>
      <c r="H303" s="21" t="s">
        <v>298</v>
      </c>
      <c r="J303" s="21" t="s">
        <v>89</v>
      </c>
      <c r="L303" s="21" t="s">
        <v>737</v>
      </c>
      <c r="N303" s="21" t="s">
        <v>103</v>
      </c>
      <c r="P303" s="21" t="s">
        <v>1220</v>
      </c>
      <c r="R303" s="21" t="s">
        <v>77</v>
      </c>
      <c r="S303" s="20"/>
      <c r="T303" s="58" t="s">
        <v>1216</v>
      </c>
      <c r="V303" s="26" t="s">
        <v>79</v>
      </c>
      <c r="W303" s="60"/>
      <c r="X303" s="26" t="s">
        <v>80</v>
      </c>
      <c r="Y303" s="60"/>
      <c r="Z303" s="26" t="s">
        <v>79</v>
      </c>
      <c r="AA303" s="60"/>
      <c r="AB303" s="26" t="s">
        <v>80</v>
      </c>
      <c r="AC303" s="60"/>
      <c r="AD303" s="23" t="s">
        <v>1221</v>
      </c>
    </row>
    <row r="304" spans="1:31" ht="57.95" customHeight="1">
      <c r="B304" s="21" t="s">
        <v>1124</v>
      </c>
      <c r="C304" s="20"/>
      <c r="D304" s="21" t="s">
        <v>1214</v>
      </c>
      <c r="E304" s="20"/>
      <c r="F304" s="23" t="s">
        <v>254</v>
      </c>
      <c r="H304" s="21" t="s">
        <v>364</v>
      </c>
      <c r="J304" s="21" t="s">
        <v>89</v>
      </c>
      <c r="L304" s="21" t="s">
        <v>737</v>
      </c>
      <c r="N304" s="21" t="s">
        <v>103</v>
      </c>
      <c r="P304" s="21" t="s">
        <v>1222</v>
      </c>
      <c r="R304" s="21" t="s">
        <v>77</v>
      </c>
      <c r="S304" s="20"/>
      <c r="T304" s="58" t="s">
        <v>1216</v>
      </c>
      <c r="V304" s="26" t="s">
        <v>79</v>
      </c>
      <c r="W304" s="60"/>
      <c r="X304" s="26" t="s">
        <v>80</v>
      </c>
      <c r="Y304" s="60"/>
      <c r="Z304" s="26" t="s">
        <v>79</v>
      </c>
      <c r="AA304" s="60"/>
      <c r="AB304" s="26" t="s">
        <v>80</v>
      </c>
      <c r="AC304" s="60"/>
      <c r="AD304" s="23" t="s">
        <v>1223</v>
      </c>
    </row>
    <row r="305" spans="2:30" ht="135.94999999999999">
      <c r="B305" s="21" t="s">
        <v>1145</v>
      </c>
      <c r="C305" s="20"/>
      <c r="D305" s="21" t="s">
        <v>1214</v>
      </c>
      <c r="E305" s="20"/>
      <c r="F305" s="23" t="s">
        <v>254</v>
      </c>
      <c r="H305" s="21" t="s">
        <v>364</v>
      </c>
      <c r="J305" s="21" t="s">
        <v>89</v>
      </c>
      <c r="L305" s="21" t="s">
        <v>737</v>
      </c>
      <c r="N305" s="21" t="s">
        <v>103</v>
      </c>
      <c r="P305" s="21" t="s">
        <v>1224</v>
      </c>
      <c r="R305" s="21" t="s">
        <v>77</v>
      </c>
      <c r="S305" s="20"/>
      <c r="T305" s="58" t="s">
        <v>1216</v>
      </c>
      <c r="V305" s="26" t="s">
        <v>79</v>
      </c>
      <c r="W305" s="60"/>
      <c r="X305" s="26" t="s">
        <v>80</v>
      </c>
      <c r="Y305" s="60"/>
      <c r="Z305" s="26" t="s">
        <v>79</v>
      </c>
      <c r="AA305" s="60"/>
      <c r="AB305" s="26" t="s">
        <v>80</v>
      </c>
      <c r="AC305" s="60"/>
      <c r="AD305" s="23" t="s">
        <v>1225</v>
      </c>
    </row>
    <row r="306" spans="2:30" ht="51">
      <c r="B306" s="21" t="s">
        <v>1148</v>
      </c>
      <c r="C306" s="20"/>
      <c r="D306" s="21" t="s">
        <v>1214</v>
      </c>
      <c r="E306" s="20"/>
      <c r="F306" s="23" t="s">
        <v>254</v>
      </c>
      <c r="H306" s="21" t="s">
        <v>364</v>
      </c>
      <c r="J306" s="21" t="s">
        <v>89</v>
      </c>
      <c r="L306" s="21" t="s">
        <v>737</v>
      </c>
      <c r="N306" s="21" t="s">
        <v>103</v>
      </c>
      <c r="P306" s="21" t="s">
        <v>1226</v>
      </c>
      <c r="R306" s="21" t="s">
        <v>77</v>
      </c>
      <c r="S306" s="20"/>
      <c r="T306" s="58" t="s">
        <v>1216</v>
      </c>
      <c r="V306" s="26" t="s">
        <v>79</v>
      </c>
      <c r="W306" s="60"/>
      <c r="X306" s="26" t="s">
        <v>80</v>
      </c>
      <c r="Y306" s="60"/>
      <c r="Z306" s="26" t="s">
        <v>79</v>
      </c>
      <c r="AA306" s="60"/>
      <c r="AB306" s="26" t="s">
        <v>80</v>
      </c>
      <c r="AC306" s="60"/>
      <c r="AD306" s="23" t="s">
        <v>1227</v>
      </c>
    </row>
    <row r="307" spans="2:30" ht="68.099999999999994">
      <c r="B307" s="21" t="s">
        <v>1130</v>
      </c>
      <c r="C307" s="20"/>
      <c r="D307" s="21" t="s">
        <v>1214</v>
      </c>
      <c r="E307" s="20"/>
      <c r="F307" s="23" t="s">
        <v>254</v>
      </c>
      <c r="H307" s="21" t="s">
        <v>291</v>
      </c>
      <c r="J307" s="21" t="s">
        <v>89</v>
      </c>
      <c r="L307" s="21" t="s">
        <v>737</v>
      </c>
      <c r="N307" s="21" t="s">
        <v>185</v>
      </c>
      <c r="P307" s="21" t="s">
        <v>1228</v>
      </c>
      <c r="R307" s="21" t="s">
        <v>77</v>
      </c>
      <c r="S307" s="20"/>
      <c r="T307" s="58" t="s">
        <v>1216</v>
      </c>
      <c r="V307" s="26" t="s">
        <v>79</v>
      </c>
      <c r="W307" s="60"/>
      <c r="X307" s="26" t="s">
        <v>80</v>
      </c>
      <c r="Y307" s="60"/>
      <c r="Z307" s="26" t="s">
        <v>79</v>
      </c>
      <c r="AA307" s="60"/>
      <c r="AB307" s="26" t="s">
        <v>80</v>
      </c>
      <c r="AC307" s="60"/>
      <c r="AD307" s="23" t="s">
        <v>1229</v>
      </c>
    </row>
    <row r="308" spans="2:30" ht="51">
      <c r="B308" s="21" t="s">
        <v>1153</v>
      </c>
      <c r="C308" s="20"/>
      <c r="D308" s="21" t="s">
        <v>1214</v>
      </c>
      <c r="E308" s="20"/>
      <c r="F308" s="23" t="s">
        <v>254</v>
      </c>
      <c r="H308" s="21" t="s">
        <v>291</v>
      </c>
      <c r="J308" s="21" t="s">
        <v>89</v>
      </c>
      <c r="L308" s="21" t="s">
        <v>737</v>
      </c>
      <c r="N308" s="21" t="s">
        <v>185</v>
      </c>
      <c r="P308" s="21" t="s">
        <v>1230</v>
      </c>
      <c r="R308" s="21" t="s">
        <v>77</v>
      </c>
      <c r="S308" s="20"/>
      <c r="T308" s="58" t="s">
        <v>1216</v>
      </c>
      <c r="V308" s="26" t="s">
        <v>79</v>
      </c>
      <c r="W308" s="60"/>
      <c r="X308" s="26" t="s">
        <v>80</v>
      </c>
      <c r="Y308" s="60"/>
      <c r="Z308" s="26" t="s">
        <v>79</v>
      </c>
      <c r="AA308" s="60"/>
      <c r="AB308" s="23" t="s">
        <v>753</v>
      </c>
      <c r="AC308" s="60"/>
      <c r="AD308" s="23" t="s">
        <v>1231</v>
      </c>
    </row>
    <row r="309" spans="2:30" ht="84.95">
      <c r="B309" s="21" t="s">
        <v>1156</v>
      </c>
      <c r="C309" s="20"/>
      <c r="D309" s="21" t="s">
        <v>1214</v>
      </c>
      <c r="E309" s="20"/>
      <c r="F309" s="23" t="s">
        <v>254</v>
      </c>
      <c r="H309" s="21" t="s">
        <v>291</v>
      </c>
      <c r="J309" s="21" t="s">
        <v>89</v>
      </c>
      <c r="L309" s="21" t="s">
        <v>737</v>
      </c>
      <c r="N309" s="21" t="s">
        <v>185</v>
      </c>
      <c r="P309" s="21" t="s">
        <v>1135</v>
      </c>
      <c r="R309" s="21" t="s">
        <v>77</v>
      </c>
      <c r="S309" s="20"/>
      <c r="T309" s="58" t="s">
        <v>1216</v>
      </c>
      <c r="V309" s="26" t="s">
        <v>79</v>
      </c>
      <c r="W309" s="60"/>
      <c r="X309" s="26" t="s">
        <v>80</v>
      </c>
      <c r="Y309" s="60"/>
      <c r="Z309" s="26" t="s">
        <v>79</v>
      </c>
      <c r="AA309" s="60"/>
      <c r="AB309" s="26" t="s">
        <v>80</v>
      </c>
      <c r="AC309" s="60"/>
      <c r="AD309" s="23" t="s">
        <v>1232</v>
      </c>
    </row>
    <row r="310" spans="2:30" ht="84.95">
      <c r="B310" s="21" t="s">
        <v>1233</v>
      </c>
      <c r="C310" s="20"/>
      <c r="D310" s="21" t="s">
        <v>1234</v>
      </c>
      <c r="E310" s="20"/>
      <c r="F310" s="23" t="s">
        <v>254</v>
      </c>
      <c r="H310" s="21" t="s">
        <v>262</v>
      </c>
      <c r="J310" s="21" t="s">
        <v>89</v>
      </c>
      <c r="L310" s="21" t="s">
        <v>737</v>
      </c>
      <c r="N310" s="21" t="s">
        <v>103</v>
      </c>
      <c r="P310" s="21" t="s">
        <v>1235</v>
      </c>
      <c r="R310" s="21" t="s">
        <v>77</v>
      </c>
      <c r="S310" s="20"/>
      <c r="T310" s="58" t="s">
        <v>1236</v>
      </c>
      <c r="V310" s="26" t="s">
        <v>79</v>
      </c>
      <c r="W310" s="60"/>
      <c r="X310" s="26" t="s">
        <v>80</v>
      </c>
      <c r="Y310" s="60"/>
      <c r="Z310" s="26" t="s">
        <v>79</v>
      </c>
      <c r="AA310" s="60"/>
      <c r="AB310" s="26" t="s">
        <v>80</v>
      </c>
      <c r="AD310" s="23" t="s">
        <v>1237</v>
      </c>
    </row>
    <row r="311" spans="2:30" ht="45.95" customHeight="1">
      <c r="B311" s="21" t="s">
        <v>1120</v>
      </c>
      <c r="C311" s="20"/>
      <c r="D311" s="21" t="s">
        <v>1234</v>
      </c>
      <c r="E311" s="20"/>
      <c r="F311" s="23" t="s">
        <v>254</v>
      </c>
      <c r="H311" s="21" t="s">
        <v>364</v>
      </c>
      <c r="J311" s="21" t="s">
        <v>89</v>
      </c>
      <c r="L311" s="21" t="s">
        <v>737</v>
      </c>
      <c r="N311" s="21" t="s">
        <v>103</v>
      </c>
      <c r="P311" s="21" t="s">
        <v>1238</v>
      </c>
      <c r="R311" s="21" t="s">
        <v>77</v>
      </c>
      <c r="S311" s="20"/>
      <c r="T311" s="58" t="s">
        <v>1236</v>
      </c>
      <c r="V311" s="26" t="s">
        <v>79</v>
      </c>
      <c r="W311" s="60"/>
      <c r="X311" s="26" t="s">
        <v>80</v>
      </c>
      <c r="Y311" s="60"/>
      <c r="Z311" s="26" t="s">
        <v>79</v>
      </c>
      <c r="AA311" s="60"/>
      <c r="AB311" s="26" t="s">
        <v>80</v>
      </c>
      <c r="AC311" s="60"/>
      <c r="AD311" s="23" t="s">
        <v>1239</v>
      </c>
    </row>
    <row r="312" spans="2:30" ht="48" customHeight="1">
      <c r="B312" s="21" t="s">
        <v>1124</v>
      </c>
      <c r="C312" s="20"/>
      <c r="D312" s="21" t="s">
        <v>1234</v>
      </c>
      <c r="E312" s="20"/>
      <c r="F312" s="23" t="s">
        <v>254</v>
      </c>
      <c r="H312" s="21" t="s">
        <v>364</v>
      </c>
      <c r="J312" s="21" t="s">
        <v>89</v>
      </c>
      <c r="L312" s="21" t="s">
        <v>737</v>
      </c>
      <c r="N312" s="21" t="s">
        <v>103</v>
      </c>
      <c r="P312" s="21" t="s">
        <v>1240</v>
      </c>
      <c r="R312" s="21" t="s">
        <v>77</v>
      </c>
      <c r="S312" s="20"/>
      <c r="T312" s="58" t="s">
        <v>1236</v>
      </c>
      <c r="V312" s="26" t="s">
        <v>79</v>
      </c>
      <c r="W312" s="60"/>
      <c r="X312" s="26" t="s">
        <v>80</v>
      </c>
      <c r="Y312" s="60"/>
      <c r="Z312" s="26" t="s">
        <v>79</v>
      </c>
      <c r="AA312" s="60"/>
      <c r="AB312" s="26" t="s">
        <v>80</v>
      </c>
      <c r="AC312" s="60"/>
      <c r="AD312" s="23" t="s">
        <v>1241</v>
      </c>
    </row>
    <row r="313" spans="2:30" ht="135.94999999999999">
      <c r="B313" s="21" t="s">
        <v>1145</v>
      </c>
      <c r="C313" s="20"/>
      <c r="D313" s="21" t="s">
        <v>1234</v>
      </c>
      <c r="E313" s="20"/>
      <c r="F313" s="23" t="s">
        <v>254</v>
      </c>
      <c r="H313" s="21" t="s">
        <v>364</v>
      </c>
      <c r="J313" s="21" t="s">
        <v>89</v>
      </c>
      <c r="L313" s="21" t="s">
        <v>737</v>
      </c>
      <c r="N313" s="21" t="s">
        <v>103</v>
      </c>
      <c r="P313" s="21" t="s">
        <v>1242</v>
      </c>
      <c r="R313" s="21" t="s">
        <v>77</v>
      </c>
      <c r="S313" s="20"/>
      <c r="T313" s="58" t="s">
        <v>1236</v>
      </c>
      <c r="V313" s="26" t="s">
        <v>79</v>
      </c>
      <c r="W313" s="60"/>
      <c r="X313" s="26" t="s">
        <v>80</v>
      </c>
      <c r="Y313" s="60"/>
      <c r="Z313" s="26" t="s">
        <v>79</v>
      </c>
      <c r="AA313" s="60"/>
      <c r="AB313" s="26" t="s">
        <v>80</v>
      </c>
      <c r="AC313" s="60"/>
      <c r="AD313" s="23" t="s">
        <v>1243</v>
      </c>
    </row>
    <row r="314" spans="2:30" ht="48" customHeight="1">
      <c r="B314" s="21" t="s">
        <v>1148</v>
      </c>
      <c r="C314" s="20"/>
      <c r="D314" s="21" t="s">
        <v>1234</v>
      </c>
      <c r="E314" s="20"/>
      <c r="F314" s="23" t="s">
        <v>254</v>
      </c>
      <c r="H314" s="21" t="s">
        <v>364</v>
      </c>
      <c r="J314" s="21" t="s">
        <v>89</v>
      </c>
      <c r="L314" s="21" t="s">
        <v>737</v>
      </c>
      <c r="N314" s="21" t="s">
        <v>103</v>
      </c>
      <c r="P314" s="21" t="s">
        <v>1244</v>
      </c>
      <c r="R314" s="21" t="s">
        <v>77</v>
      </c>
      <c r="S314" s="20"/>
      <c r="T314" s="58" t="s">
        <v>1236</v>
      </c>
      <c r="V314" s="26" t="s">
        <v>79</v>
      </c>
      <c r="W314" s="60"/>
      <c r="X314" s="26" t="s">
        <v>80</v>
      </c>
      <c r="Y314" s="60"/>
      <c r="Z314" s="26" t="s">
        <v>79</v>
      </c>
      <c r="AA314" s="60"/>
      <c r="AB314" s="26" t="s">
        <v>80</v>
      </c>
      <c r="AC314" s="60"/>
      <c r="AD314" s="23" t="s">
        <v>1245</v>
      </c>
    </row>
    <row r="315" spans="2:30" ht="51">
      <c r="B315" s="21" t="s">
        <v>1130</v>
      </c>
      <c r="C315" s="20"/>
      <c r="D315" s="21" t="s">
        <v>1234</v>
      </c>
      <c r="E315" s="20"/>
      <c r="F315" s="23" t="s">
        <v>254</v>
      </c>
      <c r="H315" s="21" t="s">
        <v>291</v>
      </c>
      <c r="J315" s="21" t="s">
        <v>89</v>
      </c>
      <c r="L315" s="21" t="s">
        <v>737</v>
      </c>
      <c r="N315" s="21" t="s">
        <v>185</v>
      </c>
      <c r="P315" s="21" t="s">
        <v>1246</v>
      </c>
      <c r="R315" s="21" t="s">
        <v>77</v>
      </c>
      <c r="S315" s="20"/>
      <c r="T315" s="58" t="s">
        <v>1236</v>
      </c>
      <c r="V315" s="26" t="s">
        <v>79</v>
      </c>
      <c r="W315" s="60"/>
      <c r="X315" s="26" t="s">
        <v>80</v>
      </c>
      <c r="Y315" s="60"/>
      <c r="Z315" s="26" t="s">
        <v>79</v>
      </c>
      <c r="AA315" s="60"/>
      <c r="AB315" s="26" t="s">
        <v>80</v>
      </c>
      <c r="AC315" s="60"/>
      <c r="AD315" s="23" t="s">
        <v>1247</v>
      </c>
    </row>
    <row r="316" spans="2:30" ht="51">
      <c r="B316" s="21" t="s">
        <v>1153</v>
      </c>
      <c r="C316" s="20"/>
      <c r="D316" s="21" t="s">
        <v>1234</v>
      </c>
      <c r="E316" s="20"/>
      <c r="F316" s="23" t="s">
        <v>254</v>
      </c>
      <c r="H316" s="21" t="s">
        <v>291</v>
      </c>
      <c r="J316" s="21" t="s">
        <v>89</v>
      </c>
      <c r="L316" s="21" t="s">
        <v>737</v>
      </c>
      <c r="N316" s="21" t="s">
        <v>185</v>
      </c>
      <c r="P316" s="21" t="s">
        <v>1248</v>
      </c>
      <c r="R316" s="21" t="s">
        <v>77</v>
      </c>
      <c r="S316" s="20"/>
      <c r="T316" s="58" t="s">
        <v>1236</v>
      </c>
      <c r="V316" s="26" t="s">
        <v>79</v>
      </c>
      <c r="W316" s="60"/>
      <c r="X316" s="26" t="s">
        <v>80</v>
      </c>
      <c r="Y316" s="60"/>
      <c r="Z316" s="26" t="s">
        <v>79</v>
      </c>
      <c r="AA316" s="60"/>
      <c r="AB316" s="23" t="s">
        <v>753</v>
      </c>
      <c r="AC316" s="60"/>
      <c r="AD316" s="23" t="s">
        <v>1249</v>
      </c>
    </row>
    <row r="317" spans="2:30" ht="84.95">
      <c r="B317" s="21" t="s">
        <v>1156</v>
      </c>
      <c r="C317" s="20"/>
      <c r="D317" s="21" t="s">
        <v>1234</v>
      </c>
      <c r="E317" s="20"/>
      <c r="F317" s="23" t="s">
        <v>254</v>
      </c>
      <c r="H317" s="21" t="s">
        <v>291</v>
      </c>
      <c r="J317" s="21" t="s">
        <v>89</v>
      </c>
      <c r="L317" s="21" t="s">
        <v>737</v>
      </c>
      <c r="N317" s="21" t="s">
        <v>185</v>
      </c>
      <c r="P317" s="21" t="s">
        <v>1135</v>
      </c>
      <c r="R317" s="21" t="s">
        <v>77</v>
      </c>
      <c r="S317" s="20"/>
      <c r="T317" s="58" t="s">
        <v>1236</v>
      </c>
      <c r="V317" s="26" t="s">
        <v>79</v>
      </c>
      <c r="W317" s="60"/>
      <c r="X317" s="26" t="s">
        <v>80</v>
      </c>
      <c r="Y317" s="60"/>
      <c r="Z317" s="26" t="s">
        <v>79</v>
      </c>
      <c r="AA317" s="60"/>
      <c r="AB317" s="26" t="s">
        <v>80</v>
      </c>
      <c r="AC317" s="60"/>
      <c r="AD317" s="23" t="s">
        <v>1250</v>
      </c>
    </row>
    <row r="318" spans="2:30" ht="119.1">
      <c r="B318" s="21" t="s">
        <v>1251</v>
      </c>
      <c r="C318" s="20"/>
      <c r="D318" s="21" t="s">
        <v>1252</v>
      </c>
      <c r="E318" s="20"/>
      <c r="F318" s="23" t="s">
        <v>254</v>
      </c>
      <c r="H318" s="21" t="s">
        <v>262</v>
      </c>
      <c r="J318" s="21" t="s">
        <v>89</v>
      </c>
      <c r="L318" s="21" t="s">
        <v>737</v>
      </c>
      <c r="N318" s="21" t="s">
        <v>103</v>
      </c>
      <c r="P318" s="21" t="s">
        <v>1253</v>
      </c>
      <c r="R318" s="21" t="s">
        <v>77</v>
      </c>
      <c r="S318" s="20"/>
      <c r="T318" s="58" t="s">
        <v>1254</v>
      </c>
      <c r="V318" s="26" t="s">
        <v>79</v>
      </c>
      <c r="W318" s="60"/>
      <c r="X318" s="26" t="s">
        <v>80</v>
      </c>
      <c r="Y318" s="60"/>
      <c r="Z318" s="26" t="s">
        <v>79</v>
      </c>
      <c r="AA318" s="60"/>
      <c r="AB318" s="26" t="s">
        <v>80</v>
      </c>
      <c r="AD318" s="23" t="s">
        <v>1255</v>
      </c>
    </row>
    <row r="319" spans="2:30" ht="51">
      <c r="B319" s="21" t="s">
        <v>1120</v>
      </c>
      <c r="C319" s="20"/>
      <c r="D319" s="21" t="s">
        <v>1252</v>
      </c>
      <c r="E319" s="20"/>
      <c r="F319" s="23" t="s">
        <v>254</v>
      </c>
      <c r="H319" s="21" t="s">
        <v>364</v>
      </c>
      <c r="J319" s="21" t="s">
        <v>89</v>
      </c>
      <c r="L319" s="21" t="s">
        <v>737</v>
      </c>
      <c r="N319" s="21" t="s">
        <v>103</v>
      </c>
      <c r="P319" s="21" t="s">
        <v>1256</v>
      </c>
      <c r="R319" s="21" t="s">
        <v>77</v>
      </c>
      <c r="S319" s="20"/>
      <c r="T319" s="58" t="s">
        <v>1254</v>
      </c>
      <c r="V319" s="26" t="s">
        <v>79</v>
      </c>
      <c r="W319" s="60"/>
      <c r="X319" s="26" t="s">
        <v>80</v>
      </c>
      <c r="Y319" s="60"/>
      <c r="Z319" s="26" t="s">
        <v>79</v>
      </c>
      <c r="AA319" s="60"/>
      <c r="AB319" s="26" t="s">
        <v>80</v>
      </c>
      <c r="AC319" s="60"/>
      <c r="AD319" s="23" t="s">
        <v>1257</v>
      </c>
    </row>
    <row r="320" spans="2:30" ht="51">
      <c r="B320" s="21" t="s">
        <v>1124</v>
      </c>
      <c r="C320" s="20"/>
      <c r="D320" s="21" t="s">
        <v>1252</v>
      </c>
      <c r="E320" s="20"/>
      <c r="F320" s="23" t="s">
        <v>254</v>
      </c>
      <c r="H320" s="21" t="s">
        <v>364</v>
      </c>
      <c r="J320" s="21" t="s">
        <v>89</v>
      </c>
      <c r="L320" s="21" t="s">
        <v>737</v>
      </c>
      <c r="N320" s="21" t="s">
        <v>103</v>
      </c>
      <c r="P320" s="21" t="s">
        <v>1258</v>
      </c>
      <c r="R320" s="21" t="s">
        <v>77</v>
      </c>
      <c r="S320" s="20"/>
      <c r="T320" s="58" t="s">
        <v>1254</v>
      </c>
      <c r="V320" s="26" t="s">
        <v>79</v>
      </c>
      <c r="W320" s="60"/>
      <c r="X320" s="26" t="s">
        <v>80</v>
      </c>
      <c r="Y320" s="60"/>
      <c r="Z320" s="26" t="s">
        <v>79</v>
      </c>
      <c r="AA320" s="60"/>
      <c r="AB320" s="26" t="s">
        <v>80</v>
      </c>
      <c r="AC320" s="60"/>
      <c r="AD320" s="23" t="s">
        <v>1259</v>
      </c>
    </row>
    <row r="321" spans="2:30" ht="221.1">
      <c r="B321" s="21" t="s">
        <v>1145</v>
      </c>
      <c r="C321" s="20"/>
      <c r="D321" s="21" t="s">
        <v>1252</v>
      </c>
      <c r="E321" s="20"/>
      <c r="F321" s="23" t="s">
        <v>254</v>
      </c>
      <c r="H321" s="21" t="s">
        <v>364</v>
      </c>
      <c r="J321" s="21" t="s">
        <v>89</v>
      </c>
      <c r="L321" s="21" t="s">
        <v>737</v>
      </c>
      <c r="N321" s="21" t="s">
        <v>103</v>
      </c>
      <c r="P321" s="21" t="s">
        <v>1260</v>
      </c>
      <c r="R321" s="21" t="s">
        <v>77</v>
      </c>
      <c r="S321" s="20"/>
      <c r="T321" s="58" t="s">
        <v>1254</v>
      </c>
      <c r="V321" s="26" t="s">
        <v>79</v>
      </c>
      <c r="W321" s="60"/>
      <c r="X321" s="26" t="s">
        <v>80</v>
      </c>
      <c r="Y321" s="60"/>
      <c r="Z321" s="26" t="s">
        <v>79</v>
      </c>
      <c r="AA321" s="60"/>
      <c r="AB321" s="26" t="s">
        <v>80</v>
      </c>
      <c r="AC321" s="60"/>
      <c r="AD321" s="23" t="s">
        <v>1261</v>
      </c>
    </row>
    <row r="322" spans="2:30" ht="51">
      <c r="B322" s="21" t="s">
        <v>1148</v>
      </c>
      <c r="C322" s="20"/>
      <c r="D322" s="21" t="s">
        <v>1252</v>
      </c>
      <c r="E322" s="20"/>
      <c r="F322" s="23" t="s">
        <v>254</v>
      </c>
      <c r="H322" s="21" t="s">
        <v>364</v>
      </c>
      <c r="J322" s="21" t="s">
        <v>89</v>
      </c>
      <c r="L322" s="21" t="s">
        <v>737</v>
      </c>
      <c r="N322" s="21" t="s">
        <v>103</v>
      </c>
      <c r="P322" s="21" t="s">
        <v>1262</v>
      </c>
      <c r="R322" s="21" t="s">
        <v>77</v>
      </c>
      <c r="S322" s="20"/>
      <c r="T322" s="58" t="s">
        <v>1254</v>
      </c>
      <c r="V322" s="26" t="s">
        <v>79</v>
      </c>
      <c r="W322" s="60"/>
      <c r="X322" s="26" t="s">
        <v>80</v>
      </c>
      <c r="Y322" s="60"/>
      <c r="Z322" s="26" t="s">
        <v>79</v>
      </c>
      <c r="AA322" s="60"/>
      <c r="AB322" s="26" t="s">
        <v>80</v>
      </c>
      <c r="AC322" s="60"/>
      <c r="AD322" s="23" t="s">
        <v>1263</v>
      </c>
    </row>
    <row r="323" spans="2:30" ht="68.099999999999994">
      <c r="B323" s="21" t="s">
        <v>1130</v>
      </c>
      <c r="C323" s="20"/>
      <c r="D323" s="21" t="s">
        <v>1252</v>
      </c>
      <c r="E323" s="20"/>
      <c r="F323" s="23" t="s">
        <v>254</v>
      </c>
      <c r="H323" s="21" t="s">
        <v>291</v>
      </c>
      <c r="J323" s="21" t="s">
        <v>89</v>
      </c>
      <c r="L323" s="21" t="s">
        <v>737</v>
      </c>
      <c r="N323" s="21" t="s">
        <v>103</v>
      </c>
      <c r="P323" s="21" t="s">
        <v>1264</v>
      </c>
      <c r="R323" s="21" t="s">
        <v>77</v>
      </c>
      <c r="S323" s="20"/>
      <c r="T323" s="58" t="s">
        <v>1254</v>
      </c>
      <c r="V323" s="26" t="s">
        <v>79</v>
      </c>
      <c r="W323" s="60"/>
      <c r="X323" s="26" t="s">
        <v>80</v>
      </c>
      <c r="Y323" s="60"/>
      <c r="Z323" s="26" t="s">
        <v>79</v>
      </c>
      <c r="AA323" s="60"/>
      <c r="AB323" s="26" t="s">
        <v>80</v>
      </c>
      <c r="AC323" s="60"/>
      <c r="AD323" s="23" t="s">
        <v>1265</v>
      </c>
    </row>
    <row r="324" spans="2:30" ht="51">
      <c r="B324" s="21" t="s">
        <v>1153</v>
      </c>
      <c r="C324" s="20"/>
      <c r="D324" s="21" t="s">
        <v>1252</v>
      </c>
      <c r="E324" s="20"/>
      <c r="F324" s="23" t="s">
        <v>254</v>
      </c>
      <c r="H324" s="21" t="s">
        <v>291</v>
      </c>
      <c r="J324" s="21" t="s">
        <v>89</v>
      </c>
      <c r="L324" s="21" t="s">
        <v>737</v>
      </c>
      <c r="N324" s="21" t="s">
        <v>103</v>
      </c>
      <c r="P324" s="21" t="s">
        <v>1266</v>
      </c>
      <c r="R324" s="21" t="s">
        <v>77</v>
      </c>
      <c r="S324" s="20"/>
      <c r="T324" s="58" t="s">
        <v>1254</v>
      </c>
      <c r="V324" s="26" t="s">
        <v>79</v>
      </c>
      <c r="W324" s="60"/>
      <c r="X324" s="26" t="s">
        <v>80</v>
      </c>
      <c r="Y324" s="60"/>
      <c r="Z324" s="26" t="s">
        <v>79</v>
      </c>
      <c r="AA324" s="60"/>
      <c r="AB324" s="23" t="s">
        <v>753</v>
      </c>
      <c r="AC324" s="60"/>
      <c r="AD324" s="23" t="s">
        <v>1267</v>
      </c>
    </row>
    <row r="325" spans="2:30" ht="135.94999999999999">
      <c r="B325" s="21" t="s">
        <v>1156</v>
      </c>
      <c r="C325" s="20"/>
      <c r="D325" s="21" t="s">
        <v>1252</v>
      </c>
      <c r="E325" s="20"/>
      <c r="F325" s="23" t="s">
        <v>254</v>
      </c>
      <c r="H325" s="21" t="s">
        <v>291</v>
      </c>
      <c r="J325" s="21" t="s">
        <v>89</v>
      </c>
      <c r="L325" s="21" t="s">
        <v>737</v>
      </c>
      <c r="N325" s="21" t="s">
        <v>103</v>
      </c>
      <c r="P325" s="21" t="s">
        <v>1268</v>
      </c>
      <c r="R325" s="21" t="s">
        <v>77</v>
      </c>
      <c r="S325" s="20"/>
      <c r="T325" s="58" t="s">
        <v>1254</v>
      </c>
      <c r="V325" s="26" t="s">
        <v>79</v>
      </c>
      <c r="W325" s="60"/>
      <c r="X325" s="26" t="s">
        <v>80</v>
      </c>
      <c r="Y325" s="60"/>
      <c r="Z325" s="26" t="s">
        <v>79</v>
      </c>
      <c r="AA325" s="60"/>
      <c r="AB325" s="26" t="s">
        <v>80</v>
      </c>
      <c r="AC325" s="60"/>
      <c r="AD325" s="23" t="s">
        <v>1269</v>
      </c>
    </row>
    <row r="326" spans="2:30" ht="68.099999999999994">
      <c r="B326" s="21" t="s">
        <v>1270</v>
      </c>
      <c r="C326" s="20"/>
      <c r="D326" s="21" t="s">
        <v>1271</v>
      </c>
      <c r="E326" s="20"/>
      <c r="F326" s="23" t="s">
        <v>254</v>
      </c>
      <c r="H326" s="21" t="s">
        <v>262</v>
      </c>
      <c r="J326" s="21" t="s">
        <v>89</v>
      </c>
      <c r="L326" s="21" t="s">
        <v>737</v>
      </c>
      <c r="N326" s="21" t="s">
        <v>185</v>
      </c>
      <c r="P326" s="21" t="s">
        <v>1272</v>
      </c>
      <c r="R326" s="21" t="s">
        <v>77</v>
      </c>
      <c r="S326" s="20"/>
      <c r="T326" s="58" t="s">
        <v>1273</v>
      </c>
      <c r="V326" s="26" t="s">
        <v>79</v>
      </c>
      <c r="W326" s="60"/>
      <c r="X326" s="26" t="s">
        <v>80</v>
      </c>
      <c r="Y326" s="60"/>
      <c r="Z326" s="26" t="s">
        <v>79</v>
      </c>
      <c r="AA326" s="60"/>
      <c r="AB326" s="26" t="s">
        <v>80</v>
      </c>
      <c r="AD326" s="23" t="s">
        <v>1274</v>
      </c>
    </row>
    <row r="327" spans="2:30" ht="51">
      <c r="B327" s="21" t="s">
        <v>1120</v>
      </c>
      <c r="C327" s="20"/>
      <c r="D327" s="21" t="s">
        <v>1271</v>
      </c>
      <c r="E327" s="20"/>
      <c r="F327" s="23" t="s">
        <v>254</v>
      </c>
      <c r="H327" s="21" t="s">
        <v>364</v>
      </c>
      <c r="J327" s="21" t="s">
        <v>89</v>
      </c>
      <c r="L327" s="21" t="s">
        <v>737</v>
      </c>
      <c r="N327" s="21" t="s">
        <v>185</v>
      </c>
      <c r="P327" s="21" t="s">
        <v>1275</v>
      </c>
      <c r="R327" s="21" t="s">
        <v>77</v>
      </c>
      <c r="S327" s="20"/>
      <c r="T327" s="58" t="s">
        <v>1273</v>
      </c>
      <c r="V327" s="26" t="s">
        <v>79</v>
      </c>
      <c r="W327" s="60"/>
      <c r="X327" s="26" t="s">
        <v>80</v>
      </c>
      <c r="Y327" s="60"/>
      <c r="Z327" s="26" t="s">
        <v>79</v>
      </c>
      <c r="AA327" s="60"/>
      <c r="AB327" s="26" t="s">
        <v>80</v>
      </c>
      <c r="AC327" s="60"/>
      <c r="AD327" s="23" t="s">
        <v>1276</v>
      </c>
    </row>
    <row r="328" spans="2:30" ht="51">
      <c r="B328" s="21" t="s">
        <v>1199</v>
      </c>
      <c r="C328" s="20"/>
      <c r="D328" s="21" t="s">
        <v>1271</v>
      </c>
      <c r="E328" s="20"/>
      <c r="F328" s="23" t="s">
        <v>254</v>
      </c>
      <c r="H328" s="21" t="s">
        <v>298</v>
      </c>
      <c r="J328" s="21" t="s">
        <v>89</v>
      </c>
      <c r="L328" s="21" t="s">
        <v>737</v>
      </c>
      <c r="N328" s="21" t="s">
        <v>185</v>
      </c>
      <c r="P328" s="21" t="s">
        <v>1277</v>
      </c>
      <c r="R328" s="21" t="s">
        <v>77</v>
      </c>
      <c r="S328" s="20"/>
      <c r="T328" s="58" t="s">
        <v>1278</v>
      </c>
      <c r="V328" s="26" t="s">
        <v>79</v>
      </c>
      <c r="W328" s="60"/>
      <c r="X328" s="26" t="s">
        <v>80</v>
      </c>
      <c r="Y328" s="60"/>
      <c r="Z328" s="26" t="s">
        <v>79</v>
      </c>
      <c r="AA328" s="60"/>
      <c r="AB328" s="26" t="s">
        <v>80</v>
      </c>
      <c r="AC328" s="60"/>
      <c r="AD328" s="23" t="s">
        <v>1279</v>
      </c>
    </row>
    <row r="329" spans="2:30" ht="51">
      <c r="B329" s="21" t="s">
        <v>1124</v>
      </c>
      <c r="C329" s="20"/>
      <c r="D329" s="21" t="s">
        <v>1271</v>
      </c>
      <c r="E329" s="20"/>
      <c r="F329" s="23" t="s">
        <v>254</v>
      </c>
      <c r="H329" s="21" t="s">
        <v>364</v>
      </c>
      <c r="J329" s="21" t="s">
        <v>89</v>
      </c>
      <c r="L329" s="21" t="s">
        <v>737</v>
      </c>
      <c r="N329" s="21" t="s">
        <v>185</v>
      </c>
      <c r="P329" s="21" t="s">
        <v>1280</v>
      </c>
      <c r="R329" s="21" t="s">
        <v>77</v>
      </c>
      <c r="S329" s="20"/>
      <c r="T329" s="58" t="s">
        <v>1281</v>
      </c>
      <c r="V329" s="26" t="s">
        <v>79</v>
      </c>
      <c r="W329" s="60"/>
      <c r="X329" s="26" t="s">
        <v>80</v>
      </c>
      <c r="Y329" s="60"/>
      <c r="Z329" s="26" t="s">
        <v>79</v>
      </c>
      <c r="AA329" s="60"/>
      <c r="AB329" s="26" t="s">
        <v>80</v>
      </c>
      <c r="AC329" s="60"/>
      <c r="AD329" s="23" t="s">
        <v>1282</v>
      </c>
    </row>
    <row r="330" spans="2:30" ht="204">
      <c r="B330" s="21" t="s">
        <v>1145</v>
      </c>
      <c r="C330" s="20"/>
      <c r="D330" s="21" t="s">
        <v>1271</v>
      </c>
      <c r="E330" s="20"/>
      <c r="F330" s="23" t="s">
        <v>254</v>
      </c>
      <c r="H330" s="21" t="s">
        <v>364</v>
      </c>
      <c r="J330" s="21" t="s">
        <v>89</v>
      </c>
      <c r="L330" s="21" t="s">
        <v>737</v>
      </c>
      <c r="N330" s="21" t="s">
        <v>185</v>
      </c>
      <c r="P330" s="21" t="s">
        <v>1283</v>
      </c>
      <c r="R330" s="21" t="s">
        <v>77</v>
      </c>
      <c r="S330" s="20"/>
      <c r="T330" s="58" t="s">
        <v>1284</v>
      </c>
      <c r="V330" s="26" t="s">
        <v>79</v>
      </c>
      <c r="W330" s="60"/>
      <c r="X330" s="26" t="s">
        <v>80</v>
      </c>
      <c r="Y330" s="60"/>
      <c r="Z330" s="26" t="s">
        <v>79</v>
      </c>
      <c r="AA330" s="60"/>
      <c r="AB330" s="26" t="s">
        <v>80</v>
      </c>
      <c r="AC330" s="60"/>
      <c r="AD330" s="23" t="s">
        <v>1285</v>
      </c>
    </row>
    <row r="331" spans="2:30" ht="51">
      <c r="B331" s="21" t="s">
        <v>1148</v>
      </c>
      <c r="C331" s="20"/>
      <c r="D331" s="21" t="s">
        <v>1271</v>
      </c>
      <c r="E331" s="20"/>
      <c r="F331" s="23" t="s">
        <v>254</v>
      </c>
      <c r="H331" s="21" t="s">
        <v>364</v>
      </c>
      <c r="J331" s="21" t="s">
        <v>89</v>
      </c>
      <c r="L331" s="21" t="s">
        <v>737</v>
      </c>
      <c r="N331" s="21" t="s">
        <v>185</v>
      </c>
      <c r="P331" s="21" t="s">
        <v>1286</v>
      </c>
      <c r="R331" s="21" t="s">
        <v>77</v>
      </c>
      <c r="S331" s="20"/>
      <c r="T331" s="58" t="s">
        <v>1287</v>
      </c>
      <c r="V331" s="26" t="s">
        <v>79</v>
      </c>
      <c r="W331" s="60"/>
      <c r="X331" s="26" t="s">
        <v>80</v>
      </c>
      <c r="Y331" s="60"/>
      <c r="Z331" s="26" t="s">
        <v>79</v>
      </c>
      <c r="AA331" s="60"/>
      <c r="AB331" s="26" t="s">
        <v>80</v>
      </c>
      <c r="AC331" s="60"/>
      <c r="AD331" s="23" t="s">
        <v>1288</v>
      </c>
    </row>
    <row r="332" spans="2:30" ht="51">
      <c r="B332" s="21" t="s">
        <v>1130</v>
      </c>
      <c r="C332" s="20"/>
      <c r="D332" s="21" t="s">
        <v>1271</v>
      </c>
      <c r="E332" s="20"/>
      <c r="F332" s="23" t="s">
        <v>254</v>
      </c>
      <c r="H332" s="21" t="s">
        <v>291</v>
      </c>
      <c r="J332" s="21" t="s">
        <v>89</v>
      </c>
      <c r="L332" s="21" t="s">
        <v>737</v>
      </c>
      <c r="N332" s="21" t="s">
        <v>185</v>
      </c>
      <c r="P332" s="21" t="s">
        <v>1289</v>
      </c>
      <c r="R332" s="21" t="s">
        <v>77</v>
      </c>
      <c r="S332" s="20"/>
      <c r="T332" s="58" t="s">
        <v>1290</v>
      </c>
      <c r="V332" s="26" t="s">
        <v>79</v>
      </c>
      <c r="W332" s="60"/>
      <c r="X332" s="26" t="s">
        <v>80</v>
      </c>
      <c r="Y332" s="60"/>
      <c r="Z332" s="26" t="s">
        <v>79</v>
      </c>
      <c r="AA332" s="60"/>
      <c r="AB332" s="26" t="s">
        <v>80</v>
      </c>
      <c r="AC332" s="60"/>
      <c r="AD332" s="23" t="s">
        <v>1291</v>
      </c>
    </row>
    <row r="333" spans="2:30" ht="51">
      <c r="B333" s="21" t="s">
        <v>1153</v>
      </c>
      <c r="C333" s="20"/>
      <c r="D333" s="21" t="s">
        <v>1271</v>
      </c>
      <c r="E333" s="20"/>
      <c r="F333" s="23" t="s">
        <v>254</v>
      </c>
      <c r="H333" s="21" t="s">
        <v>291</v>
      </c>
      <c r="J333" s="21" t="s">
        <v>89</v>
      </c>
      <c r="L333" s="21" t="s">
        <v>737</v>
      </c>
      <c r="N333" s="21" t="s">
        <v>185</v>
      </c>
      <c r="P333" s="21" t="s">
        <v>1292</v>
      </c>
      <c r="R333" s="21" t="s">
        <v>77</v>
      </c>
      <c r="S333" s="20"/>
      <c r="T333" s="58" t="s">
        <v>1293</v>
      </c>
      <c r="V333" s="26" t="s">
        <v>79</v>
      </c>
      <c r="W333" s="60"/>
      <c r="X333" s="26" t="s">
        <v>80</v>
      </c>
      <c r="Y333" s="60"/>
      <c r="Z333" s="26" t="s">
        <v>79</v>
      </c>
      <c r="AA333" s="60"/>
      <c r="AB333" s="23" t="s">
        <v>753</v>
      </c>
      <c r="AC333" s="60"/>
      <c r="AD333" s="23" t="s">
        <v>1294</v>
      </c>
    </row>
    <row r="334" spans="2:30" ht="84.95">
      <c r="B334" s="21" t="s">
        <v>1156</v>
      </c>
      <c r="C334" s="20"/>
      <c r="D334" s="21" t="s">
        <v>1271</v>
      </c>
      <c r="E334" s="20"/>
      <c r="F334" s="23" t="s">
        <v>254</v>
      </c>
      <c r="H334" s="21" t="s">
        <v>291</v>
      </c>
      <c r="J334" s="21" t="s">
        <v>89</v>
      </c>
      <c r="L334" s="21" t="s">
        <v>737</v>
      </c>
      <c r="N334" s="21" t="s">
        <v>185</v>
      </c>
      <c r="P334" s="21" t="s">
        <v>1135</v>
      </c>
      <c r="R334" s="21" t="s">
        <v>77</v>
      </c>
      <c r="S334" s="20"/>
      <c r="T334" s="58" t="s">
        <v>1295</v>
      </c>
      <c r="V334" s="26" t="s">
        <v>79</v>
      </c>
      <c r="W334" s="60"/>
      <c r="X334" s="26" t="s">
        <v>80</v>
      </c>
      <c r="Y334" s="60"/>
      <c r="Z334" s="26" t="s">
        <v>79</v>
      </c>
      <c r="AA334" s="60"/>
      <c r="AB334" s="26" t="s">
        <v>80</v>
      </c>
      <c r="AC334" s="60"/>
      <c r="AD334" s="23" t="s">
        <v>1296</v>
      </c>
    </row>
    <row r="335" spans="2:30" ht="84.95">
      <c r="B335" s="21" t="s">
        <v>1297</v>
      </c>
      <c r="C335" s="20"/>
      <c r="D335" s="21" t="s">
        <v>1298</v>
      </c>
      <c r="E335" s="20"/>
      <c r="F335" s="23" t="s">
        <v>254</v>
      </c>
      <c r="H335" s="21" t="s">
        <v>262</v>
      </c>
      <c r="J335" s="21" t="s">
        <v>89</v>
      </c>
      <c r="L335" s="21" t="s">
        <v>737</v>
      </c>
      <c r="N335" s="21" t="s">
        <v>103</v>
      </c>
      <c r="P335" s="21" t="s">
        <v>1299</v>
      </c>
      <c r="R335" s="21" t="s">
        <v>77</v>
      </c>
      <c r="S335" s="20"/>
      <c r="T335" s="58" t="s">
        <v>1300</v>
      </c>
      <c r="V335" s="26" t="s">
        <v>79</v>
      </c>
      <c r="W335" s="60"/>
      <c r="X335" s="26" t="s">
        <v>80</v>
      </c>
      <c r="Y335" s="60"/>
      <c r="Z335" s="26" t="s">
        <v>79</v>
      </c>
      <c r="AA335" s="60"/>
      <c r="AB335" s="26" t="s">
        <v>80</v>
      </c>
      <c r="AD335" s="23" t="s">
        <v>1301</v>
      </c>
    </row>
    <row r="336" spans="2:30" ht="42.95" customHeight="1">
      <c r="B336" s="21" t="s">
        <v>1120</v>
      </c>
      <c r="C336" s="20"/>
      <c r="D336" s="21" t="s">
        <v>1298</v>
      </c>
      <c r="E336" s="20"/>
      <c r="F336" s="23" t="s">
        <v>254</v>
      </c>
      <c r="H336" s="21" t="s">
        <v>364</v>
      </c>
      <c r="J336" s="21" t="s">
        <v>89</v>
      </c>
      <c r="L336" s="21" t="s">
        <v>737</v>
      </c>
      <c r="N336" s="21" t="s">
        <v>103</v>
      </c>
      <c r="P336" s="21" t="s">
        <v>1302</v>
      </c>
      <c r="R336" s="21" t="s">
        <v>77</v>
      </c>
      <c r="S336" s="20"/>
      <c r="T336" s="58" t="s">
        <v>1303</v>
      </c>
      <c r="V336" s="26" t="s">
        <v>79</v>
      </c>
      <c r="W336" s="60"/>
      <c r="X336" s="26" t="s">
        <v>80</v>
      </c>
      <c r="Y336" s="60"/>
      <c r="Z336" s="26" t="s">
        <v>79</v>
      </c>
      <c r="AA336" s="60"/>
      <c r="AB336" s="26" t="s">
        <v>80</v>
      </c>
      <c r="AC336" s="60"/>
      <c r="AD336" s="23" t="s">
        <v>1304</v>
      </c>
    </row>
    <row r="337" spans="2:30" ht="48" customHeight="1">
      <c r="B337" s="21" t="s">
        <v>1124</v>
      </c>
      <c r="C337" s="20"/>
      <c r="D337" s="21" t="s">
        <v>1298</v>
      </c>
      <c r="E337" s="20"/>
      <c r="F337" s="23" t="s">
        <v>254</v>
      </c>
      <c r="H337" s="21" t="s">
        <v>364</v>
      </c>
      <c r="J337" s="21" t="s">
        <v>89</v>
      </c>
      <c r="L337" s="21" t="s">
        <v>737</v>
      </c>
      <c r="N337" s="21" t="s">
        <v>103</v>
      </c>
      <c r="P337" s="21" t="s">
        <v>1305</v>
      </c>
      <c r="R337" s="21" t="s">
        <v>77</v>
      </c>
      <c r="S337" s="20"/>
      <c r="T337" s="58" t="s">
        <v>1306</v>
      </c>
      <c r="V337" s="26" t="s">
        <v>79</v>
      </c>
      <c r="W337" s="60"/>
      <c r="X337" s="26" t="s">
        <v>80</v>
      </c>
      <c r="Y337" s="60"/>
      <c r="Z337" s="26" t="s">
        <v>79</v>
      </c>
      <c r="AA337" s="60"/>
      <c r="AB337" s="26" t="s">
        <v>80</v>
      </c>
      <c r="AC337" s="60"/>
      <c r="AD337" s="23" t="s">
        <v>1307</v>
      </c>
    </row>
    <row r="338" spans="2:30" ht="204">
      <c r="B338" s="21" t="s">
        <v>1145</v>
      </c>
      <c r="C338" s="20"/>
      <c r="D338" s="21" t="s">
        <v>1298</v>
      </c>
      <c r="E338" s="20"/>
      <c r="F338" s="23" t="s">
        <v>254</v>
      </c>
      <c r="H338" s="21" t="s">
        <v>364</v>
      </c>
      <c r="J338" s="21" t="s">
        <v>89</v>
      </c>
      <c r="L338" s="21" t="s">
        <v>737</v>
      </c>
      <c r="N338" s="21" t="s">
        <v>103</v>
      </c>
      <c r="P338" s="21" t="s">
        <v>1308</v>
      </c>
      <c r="R338" s="21" t="s">
        <v>77</v>
      </c>
      <c r="S338" s="20"/>
      <c r="T338" s="58" t="s">
        <v>1309</v>
      </c>
      <c r="V338" s="26" t="s">
        <v>79</v>
      </c>
      <c r="W338" s="60"/>
      <c r="X338" s="26" t="s">
        <v>80</v>
      </c>
      <c r="Y338" s="60"/>
      <c r="Z338" s="26" t="s">
        <v>79</v>
      </c>
      <c r="AA338" s="60"/>
      <c r="AB338" s="26" t="s">
        <v>80</v>
      </c>
      <c r="AC338" s="60"/>
      <c r="AD338" s="23" t="s">
        <v>1310</v>
      </c>
    </row>
    <row r="339" spans="2:30" ht="51">
      <c r="B339" s="21" t="s">
        <v>1148</v>
      </c>
      <c r="C339" s="20"/>
      <c r="D339" s="21" t="s">
        <v>1298</v>
      </c>
      <c r="E339" s="20"/>
      <c r="F339" s="23" t="s">
        <v>254</v>
      </c>
      <c r="H339" s="21" t="s">
        <v>364</v>
      </c>
      <c r="J339" s="21" t="s">
        <v>89</v>
      </c>
      <c r="L339" s="21" t="s">
        <v>737</v>
      </c>
      <c r="N339" s="21" t="s">
        <v>103</v>
      </c>
      <c r="P339" s="21" t="s">
        <v>1311</v>
      </c>
      <c r="R339" s="21" t="s">
        <v>77</v>
      </c>
      <c r="S339" s="20"/>
      <c r="T339" s="58" t="s">
        <v>1312</v>
      </c>
      <c r="V339" s="26" t="s">
        <v>79</v>
      </c>
      <c r="W339" s="60"/>
      <c r="X339" s="26" t="s">
        <v>80</v>
      </c>
      <c r="Y339" s="60"/>
      <c r="Z339" s="26" t="s">
        <v>79</v>
      </c>
      <c r="AA339" s="60"/>
      <c r="AB339" s="26" t="s">
        <v>80</v>
      </c>
      <c r="AC339" s="60"/>
      <c r="AD339" s="23" t="s">
        <v>1313</v>
      </c>
    </row>
    <row r="340" spans="2:30" ht="33.950000000000003">
      <c r="B340" s="21" t="s">
        <v>1130</v>
      </c>
      <c r="C340" s="20"/>
      <c r="D340" s="21" t="s">
        <v>1298</v>
      </c>
      <c r="E340" s="20"/>
      <c r="F340" s="23" t="s">
        <v>254</v>
      </c>
      <c r="H340" s="21" t="s">
        <v>291</v>
      </c>
      <c r="J340" s="21" t="s">
        <v>89</v>
      </c>
      <c r="L340" s="21" t="s">
        <v>737</v>
      </c>
      <c r="N340" s="21" t="s">
        <v>185</v>
      </c>
      <c r="P340" s="21" t="s">
        <v>1314</v>
      </c>
      <c r="R340" s="21" t="s">
        <v>77</v>
      </c>
      <c r="S340" s="20"/>
      <c r="T340" s="58" t="s">
        <v>1315</v>
      </c>
      <c r="V340" s="26" t="s">
        <v>79</v>
      </c>
      <c r="W340" s="60"/>
      <c r="X340" s="26" t="s">
        <v>80</v>
      </c>
      <c r="Y340" s="60"/>
      <c r="Z340" s="26" t="s">
        <v>79</v>
      </c>
      <c r="AA340" s="60"/>
      <c r="AB340" s="26" t="s">
        <v>80</v>
      </c>
      <c r="AC340" s="60"/>
      <c r="AD340" s="23" t="s">
        <v>1316</v>
      </c>
    </row>
    <row r="341" spans="2:30" ht="51">
      <c r="B341" s="21" t="s">
        <v>1153</v>
      </c>
      <c r="C341" s="20"/>
      <c r="D341" s="21" t="s">
        <v>1298</v>
      </c>
      <c r="E341" s="20"/>
      <c r="F341" s="23" t="s">
        <v>254</v>
      </c>
      <c r="H341" s="21" t="s">
        <v>291</v>
      </c>
      <c r="J341" s="21" t="s">
        <v>89</v>
      </c>
      <c r="L341" s="21" t="s">
        <v>737</v>
      </c>
      <c r="N341" s="21" t="s">
        <v>185</v>
      </c>
      <c r="P341" s="21" t="s">
        <v>1317</v>
      </c>
      <c r="R341" s="21" t="s">
        <v>77</v>
      </c>
      <c r="S341" s="20"/>
      <c r="T341" s="58" t="s">
        <v>1318</v>
      </c>
      <c r="V341" s="26" t="s">
        <v>79</v>
      </c>
      <c r="W341" s="60"/>
      <c r="X341" s="26" t="s">
        <v>80</v>
      </c>
      <c r="Y341" s="60"/>
      <c r="Z341" s="26" t="s">
        <v>79</v>
      </c>
      <c r="AA341" s="60"/>
      <c r="AB341" s="23" t="s">
        <v>753</v>
      </c>
      <c r="AC341" s="60"/>
      <c r="AD341" s="23" t="s">
        <v>1319</v>
      </c>
    </row>
    <row r="342" spans="2:30" ht="135.94999999999999">
      <c r="B342" s="21" t="s">
        <v>1156</v>
      </c>
      <c r="C342" s="20"/>
      <c r="D342" s="21" t="s">
        <v>1298</v>
      </c>
      <c r="E342" s="20"/>
      <c r="F342" s="23" t="s">
        <v>254</v>
      </c>
      <c r="H342" s="21" t="s">
        <v>291</v>
      </c>
      <c r="J342" s="21" t="s">
        <v>89</v>
      </c>
      <c r="L342" s="21" t="s">
        <v>737</v>
      </c>
      <c r="N342" s="21" t="s">
        <v>185</v>
      </c>
      <c r="P342" s="21" t="s">
        <v>1268</v>
      </c>
      <c r="R342" s="21" t="s">
        <v>77</v>
      </c>
      <c r="S342" s="20"/>
      <c r="T342" s="58" t="s">
        <v>1320</v>
      </c>
      <c r="V342" s="26" t="s">
        <v>79</v>
      </c>
      <c r="W342" s="60"/>
      <c r="X342" s="26" t="s">
        <v>80</v>
      </c>
      <c r="Y342" s="60"/>
      <c r="Z342" s="26" t="s">
        <v>79</v>
      </c>
      <c r="AA342" s="60"/>
      <c r="AB342" s="26" t="s">
        <v>80</v>
      </c>
      <c r="AC342" s="60"/>
      <c r="AD342" s="23" t="s">
        <v>1321</v>
      </c>
    </row>
    <row r="343" spans="2:30" ht="68.099999999999994">
      <c r="B343" s="21" t="s">
        <v>1322</v>
      </c>
      <c r="C343" s="165"/>
      <c r="D343" s="21" t="s">
        <v>1323</v>
      </c>
      <c r="E343" s="20"/>
      <c r="F343" s="23" t="s">
        <v>254</v>
      </c>
      <c r="H343" s="21" t="s">
        <v>262</v>
      </c>
      <c r="J343" s="21" t="s">
        <v>89</v>
      </c>
      <c r="L343" s="21" t="s">
        <v>737</v>
      </c>
      <c r="N343" s="21" t="s">
        <v>103</v>
      </c>
      <c r="P343" s="21" t="s">
        <v>1324</v>
      </c>
      <c r="R343" s="21" t="s">
        <v>77</v>
      </c>
      <c r="S343" s="20"/>
      <c r="T343" s="58" t="s">
        <v>1325</v>
      </c>
      <c r="V343" s="26" t="s">
        <v>79</v>
      </c>
      <c r="W343" s="60"/>
      <c r="X343" s="26" t="s">
        <v>80</v>
      </c>
      <c r="Y343" s="60"/>
      <c r="Z343" s="26" t="s">
        <v>79</v>
      </c>
      <c r="AA343" s="60"/>
      <c r="AB343" s="26" t="s">
        <v>80</v>
      </c>
      <c r="AD343" s="23" t="s">
        <v>1326</v>
      </c>
    </row>
    <row r="344" spans="2:30" ht="33.950000000000003">
      <c r="B344" s="21" t="s">
        <v>1120</v>
      </c>
      <c r="C344" s="165"/>
      <c r="D344" s="21" t="s">
        <v>1323</v>
      </c>
      <c r="E344" s="20"/>
      <c r="F344" s="23" t="s">
        <v>254</v>
      </c>
      <c r="H344" s="21" t="s">
        <v>364</v>
      </c>
      <c r="J344" s="21" t="s">
        <v>89</v>
      </c>
      <c r="L344" s="21" t="s">
        <v>737</v>
      </c>
      <c r="N344" s="21" t="s">
        <v>103</v>
      </c>
      <c r="P344" s="21" t="s">
        <v>1327</v>
      </c>
      <c r="R344" s="21" t="s">
        <v>77</v>
      </c>
      <c r="S344" s="20"/>
      <c r="T344" s="58" t="s">
        <v>1328</v>
      </c>
      <c r="V344" s="26" t="s">
        <v>79</v>
      </c>
      <c r="W344" s="60"/>
      <c r="X344" s="26" t="s">
        <v>80</v>
      </c>
      <c r="Y344" s="60"/>
      <c r="Z344" s="26" t="s">
        <v>79</v>
      </c>
      <c r="AA344" s="60"/>
      <c r="AB344" s="26" t="s">
        <v>80</v>
      </c>
      <c r="AC344" s="60"/>
      <c r="AD344" s="23" t="s">
        <v>1329</v>
      </c>
    </row>
    <row r="345" spans="2:30" ht="204" customHeight="1">
      <c r="B345" s="21" t="s">
        <v>1124</v>
      </c>
      <c r="C345" s="165"/>
      <c r="D345" s="21" t="s">
        <v>1323</v>
      </c>
      <c r="E345" s="20"/>
      <c r="F345" s="23" t="s">
        <v>254</v>
      </c>
      <c r="H345" s="21" t="s">
        <v>364</v>
      </c>
      <c r="J345" s="21" t="s">
        <v>89</v>
      </c>
      <c r="L345" s="21" t="s">
        <v>737</v>
      </c>
      <c r="N345" s="21" t="s">
        <v>103</v>
      </c>
      <c r="P345" s="21" t="s">
        <v>1330</v>
      </c>
      <c r="R345" s="21" t="s">
        <v>77</v>
      </c>
      <c r="S345" s="20"/>
      <c r="T345" s="58" t="s">
        <v>1331</v>
      </c>
      <c r="V345" s="26" t="s">
        <v>79</v>
      </c>
      <c r="W345" s="60"/>
      <c r="X345" s="26" t="s">
        <v>80</v>
      </c>
      <c r="Y345" s="60"/>
      <c r="Z345" s="26" t="s">
        <v>79</v>
      </c>
      <c r="AA345" s="60"/>
      <c r="AB345" s="26" t="s">
        <v>80</v>
      </c>
      <c r="AC345" s="60"/>
      <c r="AD345" s="23" t="s">
        <v>1332</v>
      </c>
    </row>
    <row r="346" spans="2:30" ht="153">
      <c r="B346" s="21" t="s">
        <v>1145</v>
      </c>
      <c r="C346" s="165"/>
      <c r="D346" s="21" t="s">
        <v>1323</v>
      </c>
      <c r="E346" s="20"/>
      <c r="F346" s="23" t="s">
        <v>254</v>
      </c>
      <c r="H346" s="21" t="s">
        <v>364</v>
      </c>
      <c r="J346" s="21" t="s">
        <v>89</v>
      </c>
      <c r="L346" s="21" t="s">
        <v>737</v>
      </c>
      <c r="N346" s="21" t="s">
        <v>103</v>
      </c>
      <c r="P346" s="21" t="s">
        <v>1333</v>
      </c>
      <c r="R346" s="21" t="s">
        <v>77</v>
      </c>
      <c r="S346" s="20"/>
      <c r="T346" s="58" t="s">
        <v>1334</v>
      </c>
      <c r="V346" s="26" t="s">
        <v>79</v>
      </c>
      <c r="W346" s="60"/>
      <c r="X346" s="26" t="s">
        <v>80</v>
      </c>
      <c r="Y346" s="60"/>
      <c r="Z346" s="26" t="s">
        <v>79</v>
      </c>
      <c r="AA346" s="60"/>
      <c r="AB346" s="26" t="s">
        <v>80</v>
      </c>
      <c r="AC346" s="60"/>
      <c r="AD346" s="23" t="s">
        <v>1335</v>
      </c>
    </row>
    <row r="347" spans="2:30" ht="51">
      <c r="B347" s="21" t="s">
        <v>1148</v>
      </c>
      <c r="C347" s="165"/>
      <c r="D347" s="21" t="s">
        <v>1323</v>
      </c>
      <c r="E347" s="20"/>
      <c r="F347" s="23" t="s">
        <v>254</v>
      </c>
      <c r="H347" s="21" t="s">
        <v>364</v>
      </c>
      <c r="J347" s="21" t="s">
        <v>89</v>
      </c>
      <c r="L347" s="21" t="s">
        <v>737</v>
      </c>
      <c r="N347" s="21" t="s">
        <v>103</v>
      </c>
      <c r="P347" s="21" t="s">
        <v>1336</v>
      </c>
      <c r="R347" s="21" t="s">
        <v>77</v>
      </c>
      <c r="S347" s="20"/>
      <c r="T347" s="58" t="s">
        <v>1337</v>
      </c>
      <c r="V347" s="26" t="s">
        <v>79</v>
      </c>
      <c r="W347" s="60"/>
      <c r="X347" s="26" t="s">
        <v>80</v>
      </c>
      <c r="Y347" s="60"/>
      <c r="Z347" s="26" t="s">
        <v>79</v>
      </c>
      <c r="AA347" s="60"/>
      <c r="AB347" s="26" t="s">
        <v>80</v>
      </c>
      <c r="AC347" s="60"/>
      <c r="AD347" s="23" t="s">
        <v>1338</v>
      </c>
    </row>
    <row r="348" spans="2:30" ht="54" customHeight="1">
      <c r="B348" s="21" t="s">
        <v>1339</v>
      </c>
      <c r="C348" s="165"/>
      <c r="D348" s="21" t="s">
        <v>1323</v>
      </c>
      <c r="E348" s="20"/>
      <c r="F348" s="23" t="s">
        <v>254</v>
      </c>
      <c r="H348" s="21" t="s">
        <v>364</v>
      </c>
      <c r="J348" s="21" t="s">
        <v>89</v>
      </c>
      <c r="L348" s="21" t="s">
        <v>737</v>
      </c>
      <c r="N348" s="21" t="s">
        <v>103</v>
      </c>
      <c r="P348" s="21" t="s">
        <v>1340</v>
      </c>
      <c r="R348" s="21" t="s">
        <v>77</v>
      </c>
      <c r="S348" s="20"/>
      <c r="T348" s="58" t="s">
        <v>1341</v>
      </c>
      <c r="V348" s="26" t="s">
        <v>79</v>
      </c>
      <c r="W348" s="60"/>
      <c r="X348" s="26" t="s">
        <v>80</v>
      </c>
      <c r="Y348" s="60"/>
      <c r="Z348" s="26" t="s">
        <v>79</v>
      </c>
      <c r="AA348" s="60"/>
      <c r="AB348" s="26" t="s">
        <v>80</v>
      </c>
      <c r="AC348" s="60"/>
      <c r="AD348" s="23" t="s">
        <v>1342</v>
      </c>
    </row>
    <row r="349" spans="2:30" ht="68.099999999999994">
      <c r="B349" s="21" t="s">
        <v>1130</v>
      </c>
      <c r="C349" s="165"/>
      <c r="D349" s="21" t="s">
        <v>1323</v>
      </c>
      <c r="E349" s="20"/>
      <c r="F349" s="23" t="s">
        <v>254</v>
      </c>
      <c r="H349" s="21" t="s">
        <v>291</v>
      </c>
      <c r="J349" s="21" t="s">
        <v>89</v>
      </c>
      <c r="L349" s="21" t="s">
        <v>737</v>
      </c>
      <c r="N349" s="21" t="s">
        <v>185</v>
      </c>
      <c r="P349" s="21" t="s">
        <v>1343</v>
      </c>
      <c r="R349" s="21" t="s">
        <v>77</v>
      </c>
      <c r="S349" s="20"/>
      <c r="T349" s="58" t="s">
        <v>1344</v>
      </c>
      <c r="V349" s="26" t="s">
        <v>79</v>
      </c>
      <c r="W349" s="60"/>
      <c r="X349" s="26" t="s">
        <v>80</v>
      </c>
      <c r="Y349" s="60"/>
      <c r="Z349" s="26" t="s">
        <v>79</v>
      </c>
      <c r="AA349" s="60"/>
      <c r="AB349" s="26" t="s">
        <v>80</v>
      </c>
      <c r="AC349" s="60"/>
      <c r="AD349" s="23" t="s">
        <v>1345</v>
      </c>
    </row>
    <row r="350" spans="2:30" ht="51">
      <c r="B350" s="21" t="s">
        <v>1153</v>
      </c>
      <c r="C350" s="165"/>
      <c r="D350" s="21" t="s">
        <v>1323</v>
      </c>
      <c r="E350" s="20"/>
      <c r="F350" s="23" t="s">
        <v>254</v>
      </c>
      <c r="H350" s="21" t="s">
        <v>291</v>
      </c>
      <c r="J350" s="21" t="s">
        <v>89</v>
      </c>
      <c r="L350" s="21" t="s">
        <v>737</v>
      </c>
      <c r="N350" s="21" t="s">
        <v>185</v>
      </c>
      <c r="P350" s="21" t="s">
        <v>1346</v>
      </c>
      <c r="R350" s="21" t="s">
        <v>77</v>
      </c>
      <c r="S350" s="20"/>
      <c r="T350" s="58" t="s">
        <v>1347</v>
      </c>
      <c r="V350" s="26" t="s">
        <v>79</v>
      </c>
      <c r="W350" s="60"/>
      <c r="X350" s="26" t="s">
        <v>80</v>
      </c>
      <c r="Y350" s="60"/>
      <c r="Z350" s="26" t="s">
        <v>79</v>
      </c>
      <c r="AA350" s="60"/>
      <c r="AB350" s="23" t="s">
        <v>753</v>
      </c>
      <c r="AC350" s="60"/>
      <c r="AD350" s="23" t="s">
        <v>1348</v>
      </c>
    </row>
    <row r="351" spans="2:30" ht="51">
      <c r="B351" s="21" t="s">
        <v>1349</v>
      </c>
      <c r="C351" s="165"/>
      <c r="D351" s="21" t="s">
        <v>1323</v>
      </c>
      <c r="E351" s="20"/>
      <c r="F351" s="23" t="s">
        <v>254</v>
      </c>
      <c r="H351" s="21" t="s">
        <v>291</v>
      </c>
      <c r="J351" s="21" t="s">
        <v>89</v>
      </c>
      <c r="L351" s="21" t="s">
        <v>737</v>
      </c>
      <c r="N351" s="21" t="s">
        <v>185</v>
      </c>
      <c r="P351" s="21" t="s">
        <v>1350</v>
      </c>
      <c r="R351" s="21" t="s">
        <v>77</v>
      </c>
      <c r="S351" s="20"/>
      <c r="T351" s="58" t="s">
        <v>1351</v>
      </c>
      <c r="V351" s="26" t="s">
        <v>79</v>
      </c>
      <c r="W351" s="60"/>
      <c r="X351" s="26" t="s">
        <v>80</v>
      </c>
      <c r="Y351" s="60"/>
      <c r="Z351" s="26" t="s">
        <v>79</v>
      </c>
      <c r="AA351" s="60"/>
      <c r="AB351" s="26" t="s">
        <v>80</v>
      </c>
      <c r="AC351" s="60"/>
      <c r="AD351" s="23" t="s">
        <v>1352</v>
      </c>
    </row>
    <row r="352" spans="2:30" ht="84.95">
      <c r="B352" s="21" t="s">
        <v>1156</v>
      </c>
      <c r="C352" s="165"/>
      <c r="D352" s="21" t="s">
        <v>1323</v>
      </c>
      <c r="E352" s="20"/>
      <c r="F352" s="23" t="s">
        <v>254</v>
      </c>
      <c r="H352" s="21" t="s">
        <v>291</v>
      </c>
      <c r="J352" s="21" t="s">
        <v>89</v>
      </c>
      <c r="L352" s="21" t="s">
        <v>737</v>
      </c>
      <c r="N352" s="21" t="s">
        <v>185</v>
      </c>
      <c r="P352" s="21" t="s">
        <v>1135</v>
      </c>
      <c r="R352" s="21" t="s">
        <v>77</v>
      </c>
      <c r="S352" s="20"/>
      <c r="T352" s="58" t="s">
        <v>1353</v>
      </c>
      <c r="V352" s="26" t="s">
        <v>79</v>
      </c>
      <c r="W352" s="60"/>
      <c r="X352" s="26" t="s">
        <v>80</v>
      </c>
      <c r="Y352" s="60"/>
      <c r="Z352" s="26" t="s">
        <v>79</v>
      </c>
      <c r="AA352" s="60"/>
      <c r="AB352" s="26" t="s">
        <v>80</v>
      </c>
      <c r="AC352" s="60"/>
      <c r="AD352" s="23" t="s">
        <v>1354</v>
      </c>
    </row>
    <row r="353" spans="1:30" ht="119.1">
      <c r="B353" s="21" t="s">
        <v>1355</v>
      </c>
      <c r="C353" s="165"/>
      <c r="D353" s="21" t="s">
        <v>1356</v>
      </c>
      <c r="E353" s="20"/>
      <c r="F353" s="23" t="s">
        <v>254</v>
      </c>
      <c r="H353" s="21" t="s">
        <v>262</v>
      </c>
      <c r="J353" s="21" t="s">
        <v>89</v>
      </c>
      <c r="L353" s="21" t="s">
        <v>737</v>
      </c>
      <c r="N353" s="21" t="s">
        <v>103</v>
      </c>
      <c r="P353" s="21" t="s">
        <v>1357</v>
      </c>
      <c r="R353" s="21" t="s">
        <v>77</v>
      </c>
      <c r="S353" s="20"/>
      <c r="T353" s="58" t="s">
        <v>1358</v>
      </c>
      <c r="V353" s="26" t="s">
        <v>79</v>
      </c>
      <c r="W353" s="60"/>
      <c r="X353" s="26" t="s">
        <v>80</v>
      </c>
      <c r="Y353" s="60"/>
      <c r="Z353" s="26" t="s">
        <v>79</v>
      </c>
      <c r="AA353" s="60"/>
      <c r="AB353" s="26" t="s">
        <v>80</v>
      </c>
      <c r="AD353" s="23" t="s">
        <v>1359</v>
      </c>
    </row>
    <row r="354" spans="1:30" ht="51">
      <c r="B354" s="21" t="s">
        <v>1120</v>
      </c>
      <c r="C354" s="165"/>
      <c r="D354" s="21" t="s">
        <v>1356</v>
      </c>
      <c r="E354" s="20"/>
      <c r="F354" s="23" t="s">
        <v>254</v>
      </c>
      <c r="H354" s="21" t="s">
        <v>364</v>
      </c>
      <c r="J354" s="21" t="s">
        <v>89</v>
      </c>
      <c r="L354" s="21" t="s">
        <v>737</v>
      </c>
      <c r="N354" s="21" t="s">
        <v>103</v>
      </c>
      <c r="P354" s="21" t="s">
        <v>1360</v>
      </c>
      <c r="R354" s="21" t="s">
        <v>77</v>
      </c>
      <c r="S354" s="20"/>
      <c r="T354" s="58" t="s">
        <v>1358</v>
      </c>
      <c r="V354" s="26" t="s">
        <v>79</v>
      </c>
      <c r="W354" s="60"/>
      <c r="X354" s="26" t="s">
        <v>80</v>
      </c>
      <c r="Y354" s="60"/>
      <c r="Z354" s="26" t="s">
        <v>79</v>
      </c>
      <c r="AA354" s="60"/>
      <c r="AB354" s="26" t="s">
        <v>80</v>
      </c>
      <c r="AC354" s="60"/>
      <c r="AD354" s="23" t="s">
        <v>1361</v>
      </c>
    </row>
    <row r="355" spans="1:30" ht="135.94999999999999">
      <c r="B355" s="21" t="s">
        <v>1145</v>
      </c>
      <c r="C355" s="165"/>
      <c r="D355" s="21" t="s">
        <v>1356</v>
      </c>
      <c r="E355" s="20"/>
      <c r="F355" s="23" t="s">
        <v>254</v>
      </c>
      <c r="H355" s="21" t="s">
        <v>364</v>
      </c>
      <c r="J355" s="21" t="s">
        <v>89</v>
      </c>
      <c r="L355" s="21" t="s">
        <v>737</v>
      </c>
      <c r="N355" s="21" t="s">
        <v>103</v>
      </c>
      <c r="P355" s="21" t="s">
        <v>1362</v>
      </c>
      <c r="R355" s="21" t="s">
        <v>77</v>
      </c>
      <c r="S355" s="20"/>
      <c r="T355" s="58" t="s">
        <v>1358</v>
      </c>
      <c r="V355" s="26" t="s">
        <v>79</v>
      </c>
      <c r="W355" s="60"/>
      <c r="X355" s="26" t="s">
        <v>80</v>
      </c>
      <c r="Y355" s="60"/>
      <c r="Z355" s="26" t="s">
        <v>79</v>
      </c>
      <c r="AA355" s="60"/>
      <c r="AB355" s="26" t="s">
        <v>80</v>
      </c>
      <c r="AC355" s="60"/>
      <c r="AD355" s="23" t="s">
        <v>1363</v>
      </c>
    </row>
    <row r="356" spans="1:30" ht="84.95">
      <c r="B356" s="21" t="s">
        <v>1130</v>
      </c>
      <c r="C356" s="165"/>
      <c r="D356" s="21" t="s">
        <v>1356</v>
      </c>
      <c r="E356" s="20"/>
      <c r="F356" s="23" t="s">
        <v>254</v>
      </c>
      <c r="H356" s="21" t="s">
        <v>291</v>
      </c>
      <c r="J356" s="21" t="s">
        <v>89</v>
      </c>
      <c r="L356" s="21" t="s">
        <v>737</v>
      </c>
      <c r="N356" s="21" t="s">
        <v>103</v>
      </c>
      <c r="P356" s="21" t="s">
        <v>1364</v>
      </c>
      <c r="R356" s="21" t="s">
        <v>77</v>
      </c>
      <c r="S356" s="20"/>
      <c r="T356" s="58" t="s">
        <v>1358</v>
      </c>
      <c r="V356" s="26" t="s">
        <v>79</v>
      </c>
      <c r="W356" s="60"/>
      <c r="X356" s="26" t="s">
        <v>80</v>
      </c>
      <c r="Y356" s="60"/>
      <c r="Z356" s="26" t="s">
        <v>79</v>
      </c>
      <c r="AA356" s="60"/>
      <c r="AB356" s="26" t="s">
        <v>80</v>
      </c>
      <c r="AC356" s="60"/>
      <c r="AD356" s="23" t="s">
        <v>1365</v>
      </c>
    </row>
    <row r="357" spans="1:30" ht="51">
      <c r="B357" s="21" t="s">
        <v>1153</v>
      </c>
      <c r="C357" s="165"/>
      <c r="D357" s="21" t="s">
        <v>1356</v>
      </c>
      <c r="E357" s="20"/>
      <c r="F357" s="23" t="s">
        <v>254</v>
      </c>
      <c r="H357" s="21" t="s">
        <v>291</v>
      </c>
      <c r="J357" s="21" t="s">
        <v>89</v>
      </c>
      <c r="L357" s="21" t="s">
        <v>737</v>
      </c>
      <c r="N357" s="21" t="s">
        <v>103</v>
      </c>
      <c r="P357" s="21" t="s">
        <v>1366</v>
      </c>
      <c r="R357" s="21" t="s">
        <v>77</v>
      </c>
      <c r="S357" s="20"/>
      <c r="T357" s="58" t="s">
        <v>1358</v>
      </c>
      <c r="V357" s="26" t="s">
        <v>79</v>
      </c>
      <c r="W357" s="60"/>
      <c r="X357" s="26" t="s">
        <v>80</v>
      </c>
      <c r="Y357" s="60"/>
      <c r="Z357" s="26" t="s">
        <v>79</v>
      </c>
      <c r="AA357" s="60"/>
      <c r="AB357" s="23" t="s">
        <v>753</v>
      </c>
      <c r="AC357" s="60"/>
      <c r="AD357" s="23" t="s">
        <v>1367</v>
      </c>
    </row>
    <row r="358" spans="1:30" ht="84.95">
      <c r="B358" s="21" t="s">
        <v>1156</v>
      </c>
      <c r="C358" s="165"/>
      <c r="D358" s="21" t="s">
        <v>1356</v>
      </c>
      <c r="E358" s="20"/>
      <c r="F358" s="23" t="s">
        <v>254</v>
      </c>
      <c r="H358" s="21" t="s">
        <v>291</v>
      </c>
      <c r="J358" s="21" t="s">
        <v>89</v>
      </c>
      <c r="L358" s="21" t="s">
        <v>737</v>
      </c>
      <c r="N358" s="21" t="s">
        <v>103</v>
      </c>
      <c r="P358" s="21" t="s">
        <v>1135</v>
      </c>
      <c r="R358" s="21" t="s">
        <v>77</v>
      </c>
      <c r="S358" s="20"/>
      <c r="T358" s="58" t="s">
        <v>1358</v>
      </c>
      <c r="V358" s="26" t="s">
        <v>79</v>
      </c>
      <c r="W358" s="60"/>
      <c r="X358" s="26" t="s">
        <v>80</v>
      </c>
      <c r="Y358" s="60"/>
      <c r="Z358" s="26" t="s">
        <v>79</v>
      </c>
      <c r="AA358" s="60"/>
      <c r="AB358" s="26" t="s">
        <v>80</v>
      </c>
      <c r="AC358" s="60"/>
      <c r="AD358" s="23" t="s">
        <v>1368</v>
      </c>
    </row>
    <row r="359" spans="1:30" ht="84.95">
      <c r="B359" s="21" t="s">
        <v>1369</v>
      </c>
      <c r="C359" s="165"/>
      <c r="D359" s="21" t="s">
        <v>1370</v>
      </c>
      <c r="E359" s="20"/>
      <c r="F359" s="23" t="s">
        <v>254</v>
      </c>
      <c r="H359" s="21" t="s">
        <v>262</v>
      </c>
      <c r="J359" s="21" t="s">
        <v>89</v>
      </c>
      <c r="L359" s="21" t="s">
        <v>737</v>
      </c>
      <c r="N359" s="21" t="s">
        <v>103</v>
      </c>
      <c r="P359" s="21" t="s">
        <v>1371</v>
      </c>
      <c r="R359" s="21" t="s">
        <v>77</v>
      </c>
      <c r="S359" s="20"/>
      <c r="T359" s="58" t="s">
        <v>1372</v>
      </c>
      <c r="V359" s="26" t="s">
        <v>79</v>
      </c>
      <c r="W359" s="60"/>
      <c r="X359" s="26" t="s">
        <v>80</v>
      </c>
      <c r="Y359" s="60"/>
      <c r="Z359" s="26" t="s">
        <v>79</v>
      </c>
      <c r="AA359" s="60"/>
      <c r="AB359" s="26" t="s">
        <v>80</v>
      </c>
      <c r="AD359" s="23" t="s">
        <v>1373</v>
      </c>
    </row>
    <row r="360" spans="1:30" ht="33.950000000000003">
      <c r="B360" s="21" t="s">
        <v>1120</v>
      </c>
      <c r="C360" s="165"/>
      <c r="D360" s="21" t="s">
        <v>1370</v>
      </c>
      <c r="E360" s="20"/>
      <c r="F360" s="23" t="s">
        <v>254</v>
      </c>
      <c r="H360" s="21" t="s">
        <v>364</v>
      </c>
      <c r="J360" s="21" t="s">
        <v>89</v>
      </c>
      <c r="L360" s="21" t="s">
        <v>737</v>
      </c>
      <c r="N360" s="21" t="s">
        <v>103</v>
      </c>
      <c r="P360" s="21" t="s">
        <v>1374</v>
      </c>
      <c r="R360" s="21" t="s">
        <v>77</v>
      </c>
      <c r="S360" s="20"/>
      <c r="T360" s="58" t="s">
        <v>1375</v>
      </c>
      <c r="V360" s="26" t="s">
        <v>79</v>
      </c>
      <c r="W360" s="60"/>
      <c r="X360" s="26" t="s">
        <v>80</v>
      </c>
      <c r="Y360" s="60"/>
      <c r="Z360" s="26" t="s">
        <v>79</v>
      </c>
      <c r="AA360" s="60"/>
      <c r="AB360" s="26" t="s">
        <v>80</v>
      </c>
      <c r="AC360" s="60"/>
      <c r="AD360" s="23" t="s">
        <v>1376</v>
      </c>
    </row>
    <row r="361" spans="1:30" ht="33.950000000000003">
      <c r="B361" s="21" t="s">
        <v>1124</v>
      </c>
      <c r="C361" s="165"/>
      <c r="D361" s="21" t="s">
        <v>1370</v>
      </c>
      <c r="E361" s="20"/>
      <c r="F361" s="23" t="s">
        <v>254</v>
      </c>
      <c r="H361" s="21" t="s">
        <v>364</v>
      </c>
      <c r="J361" s="21" t="s">
        <v>89</v>
      </c>
      <c r="L361" s="21" t="s">
        <v>737</v>
      </c>
      <c r="N361" s="21" t="s">
        <v>103</v>
      </c>
      <c r="P361" s="21" t="s">
        <v>1240</v>
      </c>
      <c r="R361" s="21" t="s">
        <v>77</v>
      </c>
      <c r="S361" s="20"/>
      <c r="T361" s="58" t="s">
        <v>1377</v>
      </c>
      <c r="V361" s="26" t="s">
        <v>79</v>
      </c>
      <c r="W361" s="60"/>
      <c r="X361" s="26" t="s">
        <v>80</v>
      </c>
      <c r="Y361" s="60"/>
      <c r="Z361" s="26" t="s">
        <v>79</v>
      </c>
      <c r="AA361" s="60"/>
      <c r="AB361" s="26" t="s">
        <v>80</v>
      </c>
      <c r="AC361" s="60"/>
      <c r="AD361" s="23" t="s">
        <v>1378</v>
      </c>
    </row>
    <row r="362" spans="1:30" ht="135.94999999999999">
      <c r="B362" s="21" t="s">
        <v>1145</v>
      </c>
      <c r="C362" s="165"/>
      <c r="D362" s="21" t="s">
        <v>1370</v>
      </c>
      <c r="E362" s="20"/>
      <c r="F362" s="23" t="s">
        <v>254</v>
      </c>
      <c r="H362" s="21" t="s">
        <v>364</v>
      </c>
      <c r="J362" s="21" t="s">
        <v>89</v>
      </c>
      <c r="L362" s="21" t="s">
        <v>737</v>
      </c>
      <c r="N362" s="21" t="s">
        <v>103</v>
      </c>
      <c r="P362" s="21" t="s">
        <v>1379</v>
      </c>
      <c r="R362" s="21" t="s">
        <v>77</v>
      </c>
      <c r="S362" s="20"/>
      <c r="T362" s="58" t="s">
        <v>1380</v>
      </c>
      <c r="V362" s="26" t="s">
        <v>79</v>
      </c>
      <c r="W362" s="60"/>
      <c r="X362" s="26" t="s">
        <v>80</v>
      </c>
      <c r="Y362" s="60"/>
      <c r="Z362" s="26" t="s">
        <v>79</v>
      </c>
      <c r="AA362" s="60"/>
      <c r="AB362" s="26" t="s">
        <v>80</v>
      </c>
      <c r="AC362" s="60"/>
      <c r="AD362" s="23" t="s">
        <v>1381</v>
      </c>
    </row>
    <row r="363" spans="1:30" ht="51">
      <c r="B363" s="21" t="s">
        <v>1148</v>
      </c>
      <c r="C363" s="165"/>
      <c r="D363" s="21" t="s">
        <v>1370</v>
      </c>
      <c r="E363" s="20"/>
      <c r="F363" s="23" t="s">
        <v>254</v>
      </c>
      <c r="H363" s="21" t="s">
        <v>364</v>
      </c>
      <c r="J363" s="21" t="s">
        <v>89</v>
      </c>
      <c r="L363" s="21" t="s">
        <v>737</v>
      </c>
      <c r="N363" s="21" t="s">
        <v>103</v>
      </c>
      <c r="P363" s="21" t="s">
        <v>1382</v>
      </c>
      <c r="R363" s="21" t="s">
        <v>77</v>
      </c>
      <c r="S363" s="20"/>
      <c r="T363" s="58" t="s">
        <v>1383</v>
      </c>
      <c r="V363" s="26" t="s">
        <v>79</v>
      </c>
      <c r="W363" s="60"/>
      <c r="X363" s="26" t="s">
        <v>80</v>
      </c>
      <c r="Y363" s="60"/>
      <c r="Z363" s="26" t="s">
        <v>79</v>
      </c>
      <c r="AA363" s="60"/>
      <c r="AB363" s="26" t="s">
        <v>80</v>
      </c>
      <c r="AC363" s="60"/>
      <c r="AD363" s="23" t="s">
        <v>1384</v>
      </c>
    </row>
    <row r="364" spans="1:30" ht="51">
      <c r="A364" s="21"/>
      <c r="B364" s="21" t="s">
        <v>1130</v>
      </c>
      <c r="C364" s="165"/>
      <c r="D364" s="21" t="s">
        <v>1370</v>
      </c>
      <c r="E364" s="20"/>
      <c r="F364" s="23" t="s">
        <v>254</v>
      </c>
      <c r="H364" s="21" t="s">
        <v>291</v>
      </c>
      <c r="J364" s="21" t="s">
        <v>89</v>
      </c>
      <c r="L364" s="21" t="s">
        <v>737</v>
      </c>
      <c r="N364" s="21" t="s">
        <v>185</v>
      </c>
      <c r="P364" s="21" t="s">
        <v>1385</v>
      </c>
      <c r="R364" s="21" t="s">
        <v>77</v>
      </c>
      <c r="S364" s="20"/>
      <c r="T364" s="58" t="s">
        <v>1386</v>
      </c>
      <c r="V364" s="26" t="s">
        <v>79</v>
      </c>
      <c r="W364" s="60"/>
      <c r="X364" s="26" t="s">
        <v>80</v>
      </c>
      <c r="Y364" s="60"/>
      <c r="Z364" s="26" t="s">
        <v>79</v>
      </c>
      <c r="AA364" s="60"/>
      <c r="AB364" s="26" t="s">
        <v>80</v>
      </c>
      <c r="AC364" s="60"/>
      <c r="AD364" s="23" t="s">
        <v>1387</v>
      </c>
    </row>
    <row r="365" spans="1:30" ht="51">
      <c r="B365" s="21" t="s">
        <v>1153</v>
      </c>
      <c r="C365" s="165"/>
      <c r="D365" s="21" t="s">
        <v>1370</v>
      </c>
      <c r="E365" s="20"/>
      <c r="F365" s="23" t="s">
        <v>254</v>
      </c>
      <c r="H365" s="21" t="s">
        <v>291</v>
      </c>
      <c r="J365" s="21" t="s">
        <v>89</v>
      </c>
      <c r="L365" s="21" t="s">
        <v>737</v>
      </c>
      <c r="N365" s="21" t="s">
        <v>185</v>
      </c>
      <c r="P365" s="21" t="s">
        <v>1388</v>
      </c>
      <c r="R365" s="21" t="s">
        <v>77</v>
      </c>
      <c r="S365" s="20"/>
      <c r="T365" s="58" t="s">
        <v>1389</v>
      </c>
      <c r="V365" s="26" t="s">
        <v>79</v>
      </c>
      <c r="W365" s="60"/>
      <c r="X365" s="26" t="s">
        <v>80</v>
      </c>
      <c r="Y365" s="60"/>
      <c r="Z365" s="26" t="s">
        <v>79</v>
      </c>
      <c r="AA365" s="60"/>
      <c r="AB365" s="23" t="s">
        <v>753</v>
      </c>
      <c r="AC365" s="60"/>
      <c r="AD365" s="23" t="s">
        <v>1390</v>
      </c>
    </row>
    <row r="366" spans="1:30" ht="84.95">
      <c r="B366" s="21" t="s">
        <v>1156</v>
      </c>
      <c r="C366" s="165"/>
      <c r="D366" s="21" t="s">
        <v>1370</v>
      </c>
      <c r="E366" s="20"/>
      <c r="F366" s="23" t="s">
        <v>254</v>
      </c>
      <c r="H366" s="21" t="s">
        <v>291</v>
      </c>
      <c r="J366" s="21" t="s">
        <v>89</v>
      </c>
      <c r="L366" s="21" t="s">
        <v>737</v>
      </c>
      <c r="N366" s="21" t="s">
        <v>185</v>
      </c>
      <c r="P366" s="21" t="s">
        <v>1135</v>
      </c>
      <c r="R366" s="21" t="s">
        <v>77</v>
      </c>
      <c r="S366" s="20"/>
      <c r="T366" s="58" t="s">
        <v>1391</v>
      </c>
      <c r="V366" s="26" t="s">
        <v>79</v>
      </c>
      <c r="W366" s="60"/>
      <c r="X366" s="26" t="s">
        <v>80</v>
      </c>
      <c r="Y366" s="60"/>
      <c r="Z366" s="26" t="s">
        <v>79</v>
      </c>
      <c r="AA366" s="60"/>
      <c r="AB366" s="26" t="s">
        <v>80</v>
      </c>
      <c r="AC366" s="60"/>
      <c r="AD366" s="23" t="s">
        <v>1392</v>
      </c>
    </row>
    <row r="367" spans="1:30" ht="68.099999999999994">
      <c r="B367" s="21" t="s">
        <v>1393</v>
      </c>
      <c r="C367" s="165"/>
      <c r="D367" s="21" t="s">
        <v>1394</v>
      </c>
      <c r="E367" s="20"/>
      <c r="F367" s="23" t="s">
        <v>254</v>
      </c>
      <c r="H367" s="21" t="s">
        <v>262</v>
      </c>
      <c r="J367" s="21" t="s">
        <v>89</v>
      </c>
      <c r="L367" s="21" t="s">
        <v>737</v>
      </c>
      <c r="N367" s="21" t="s">
        <v>103</v>
      </c>
      <c r="P367" s="21" t="s">
        <v>1395</v>
      </c>
      <c r="R367" s="21" t="s">
        <v>77</v>
      </c>
      <c r="S367" s="20"/>
      <c r="T367" s="58" t="s">
        <v>1396</v>
      </c>
      <c r="V367" s="26" t="s">
        <v>79</v>
      </c>
      <c r="W367" s="60"/>
      <c r="X367" s="26" t="s">
        <v>80</v>
      </c>
      <c r="Y367" s="60"/>
      <c r="Z367" s="26" t="s">
        <v>79</v>
      </c>
      <c r="AA367" s="60"/>
      <c r="AB367" s="26" t="s">
        <v>80</v>
      </c>
      <c r="AD367" s="23" t="s">
        <v>1397</v>
      </c>
    </row>
    <row r="368" spans="1:30" ht="33.950000000000003">
      <c r="B368" s="21" t="s">
        <v>1120</v>
      </c>
      <c r="C368" s="20"/>
      <c r="D368" s="21" t="s">
        <v>1394</v>
      </c>
      <c r="E368" s="20"/>
      <c r="F368" s="23" t="s">
        <v>254</v>
      </c>
      <c r="H368" s="21" t="s">
        <v>364</v>
      </c>
      <c r="J368" s="21" t="s">
        <v>89</v>
      </c>
      <c r="L368" s="21" t="s">
        <v>737</v>
      </c>
      <c r="N368" s="21" t="s">
        <v>103</v>
      </c>
      <c r="P368" s="21" t="s">
        <v>1398</v>
      </c>
      <c r="R368" s="21" t="s">
        <v>77</v>
      </c>
      <c r="S368" s="20"/>
      <c r="T368" s="58" t="s">
        <v>1396</v>
      </c>
      <c r="V368" s="26" t="s">
        <v>79</v>
      </c>
      <c r="W368" s="60"/>
      <c r="X368" s="26" t="s">
        <v>80</v>
      </c>
      <c r="Y368" s="60"/>
      <c r="Z368" s="26" t="s">
        <v>79</v>
      </c>
      <c r="AA368" s="60"/>
      <c r="AB368" s="26" t="s">
        <v>80</v>
      </c>
      <c r="AC368" s="60"/>
      <c r="AD368" s="23" t="s">
        <v>1399</v>
      </c>
    </row>
    <row r="369" spans="2:30" ht="51">
      <c r="B369" s="21" t="s">
        <v>1199</v>
      </c>
      <c r="C369" s="20"/>
      <c r="D369" s="21" t="s">
        <v>1394</v>
      </c>
      <c r="E369" s="20"/>
      <c r="F369" s="23" t="s">
        <v>254</v>
      </c>
      <c r="H369" s="21" t="s">
        <v>298</v>
      </c>
      <c r="J369" s="21" t="s">
        <v>89</v>
      </c>
      <c r="L369" s="21" t="s">
        <v>737</v>
      </c>
      <c r="N369" s="21" t="s">
        <v>103</v>
      </c>
      <c r="P369" s="21" t="s">
        <v>1400</v>
      </c>
      <c r="R369" s="21" t="s">
        <v>77</v>
      </c>
      <c r="S369" s="20"/>
      <c r="T369" s="58" t="s">
        <v>1396</v>
      </c>
      <c r="V369" s="26" t="s">
        <v>79</v>
      </c>
      <c r="W369" s="60"/>
      <c r="X369" s="26" t="s">
        <v>80</v>
      </c>
      <c r="Y369" s="60"/>
      <c r="Z369" s="26" t="s">
        <v>79</v>
      </c>
      <c r="AA369" s="60"/>
      <c r="AB369" s="26" t="s">
        <v>80</v>
      </c>
      <c r="AC369" s="60"/>
      <c r="AD369" s="23" t="s">
        <v>1401</v>
      </c>
    </row>
    <row r="370" spans="2:30" ht="54" customHeight="1">
      <c r="B370" s="21" t="s">
        <v>1124</v>
      </c>
      <c r="C370" s="20"/>
      <c r="D370" s="21" t="s">
        <v>1394</v>
      </c>
      <c r="E370" s="20"/>
      <c r="F370" s="23" t="s">
        <v>254</v>
      </c>
      <c r="H370" s="21" t="s">
        <v>364</v>
      </c>
      <c r="J370" s="21" t="s">
        <v>89</v>
      </c>
      <c r="L370" s="21" t="s">
        <v>737</v>
      </c>
      <c r="N370" s="21" t="s">
        <v>103</v>
      </c>
      <c r="P370" s="21" t="s">
        <v>1402</v>
      </c>
      <c r="R370" s="21" t="s">
        <v>77</v>
      </c>
      <c r="S370" s="20"/>
      <c r="T370" s="58" t="s">
        <v>1396</v>
      </c>
      <c r="V370" s="26" t="s">
        <v>79</v>
      </c>
      <c r="W370" s="60"/>
      <c r="X370" s="26" t="s">
        <v>80</v>
      </c>
      <c r="Y370" s="60"/>
      <c r="Z370" s="26" t="s">
        <v>79</v>
      </c>
      <c r="AA370" s="60"/>
      <c r="AB370" s="26" t="s">
        <v>80</v>
      </c>
      <c r="AC370" s="60"/>
      <c r="AD370" s="23" t="s">
        <v>1403</v>
      </c>
    </row>
    <row r="371" spans="2:30" ht="135.94999999999999">
      <c r="B371" s="21" t="s">
        <v>1145</v>
      </c>
      <c r="C371" s="20"/>
      <c r="D371" s="21" t="s">
        <v>1394</v>
      </c>
      <c r="E371" s="20"/>
      <c r="F371" s="23" t="s">
        <v>254</v>
      </c>
      <c r="H371" s="21" t="s">
        <v>364</v>
      </c>
      <c r="J371" s="21" t="s">
        <v>89</v>
      </c>
      <c r="L371" s="21" t="s">
        <v>737</v>
      </c>
      <c r="N371" s="21" t="s">
        <v>103</v>
      </c>
      <c r="P371" s="21" t="s">
        <v>1404</v>
      </c>
      <c r="R371" s="21" t="s">
        <v>77</v>
      </c>
      <c r="S371" s="20"/>
      <c r="T371" s="58" t="s">
        <v>1396</v>
      </c>
      <c r="V371" s="26" t="s">
        <v>79</v>
      </c>
      <c r="W371" s="60"/>
      <c r="X371" s="26" t="s">
        <v>80</v>
      </c>
      <c r="Y371" s="60"/>
      <c r="Z371" s="26" t="s">
        <v>79</v>
      </c>
      <c r="AA371" s="60"/>
      <c r="AB371" s="26" t="s">
        <v>80</v>
      </c>
      <c r="AC371" s="60"/>
      <c r="AD371" s="23" t="s">
        <v>1405</v>
      </c>
    </row>
    <row r="372" spans="2:30" ht="51">
      <c r="B372" s="21" t="s">
        <v>1148</v>
      </c>
      <c r="C372" s="20"/>
      <c r="D372" s="21" t="s">
        <v>1394</v>
      </c>
      <c r="E372" s="20"/>
      <c r="F372" s="23" t="s">
        <v>254</v>
      </c>
      <c r="H372" s="21" t="s">
        <v>364</v>
      </c>
      <c r="J372" s="21" t="s">
        <v>89</v>
      </c>
      <c r="L372" s="21" t="s">
        <v>737</v>
      </c>
      <c r="N372" s="21" t="s">
        <v>103</v>
      </c>
      <c r="P372" s="21" t="s">
        <v>1406</v>
      </c>
      <c r="R372" s="21" t="s">
        <v>77</v>
      </c>
      <c r="S372" s="20"/>
      <c r="T372" s="58" t="s">
        <v>1396</v>
      </c>
      <c r="V372" s="26" t="s">
        <v>79</v>
      </c>
      <c r="W372" s="60"/>
      <c r="X372" s="26" t="s">
        <v>80</v>
      </c>
      <c r="Y372" s="60"/>
      <c r="Z372" s="26" t="s">
        <v>79</v>
      </c>
      <c r="AA372" s="60"/>
      <c r="AB372" s="26" t="s">
        <v>80</v>
      </c>
      <c r="AC372" s="60"/>
      <c r="AD372" s="23" t="s">
        <v>1407</v>
      </c>
    </row>
    <row r="373" spans="2:30" ht="51">
      <c r="B373" s="21" t="s">
        <v>1130</v>
      </c>
      <c r="C373" s="20"/>
      <c r="D373" s="21" t="s">
        <v>1394</v>
      </c>
      <c r="E373" s="20"/>
      <c r="F373" s="23" t="s">
        <v>254</v>
      </c>
      <c r="H373" s="21" t="s">
        <v>291</v>
      </c>
      <c r="J373" s="21" t="s">
        <v>89</v>
      </c>
      <c r="L373" s="21" t="s">
        <v>737</v>
      </c>
      <c r="N373" s="21" t="s">
        <v>185</v>
      </c>
      <c r="P373" s="21" t="s">
        <v>1408</v>
      </c>
      <c r="R373" s="21" t="s">
        <v>77</v>
      </c>
      <c r="S373" s="20"/>
      <c r="T373" s="58" t="s">
        <v>1396</v>
      </c>
      <c r="V373" s="26" t="s">
        <v>79</v>
      </c>
      <c r="W373" s="60"/>
      <c r="X373" s="26" t="s">
        <v>80</v>
      </c>
      <c r="Y373" s="60"/>
      <c r="Z373" s="26" t="s">
        <v>79</v>
      </c>
      <c r="AA373" s="60"/>
      <c r="AB373" s="26" t="s">
        <v>80</v>
      </c>
      <c r="AC373" s="60"/>
      <c r="AD373" s="23" t="s">
        <v>1409</v>
      </c>
    </row>
    <row r="374" spans="2:30" ht="51">
      <c r="B374" s="21" t="s">
        <v>1153</v>
      </c>
      <c r="C374" s="20"/>
      <c r="D374" s="21" t="s">
        <v>1394</v>
      </c>
      <c r="E374" s="20"/>
      <c r="F374" s="23" t="s">
        <v>254</v>
      </c>
      <c r="H374" s="21" t="s">
        <v>291</v>
      </c>
      <c r="J374" s="21" t="s">
        <v>89</v>
      </c>
      <c r="L374" s="21" t="s">
        <v>737</v>
      </c>
      <c r="N374" s="21" t="s">
        <v>185</v>
      </c>
      <c r="P374" s="21" t="s">
        <v>1410</v>
      </c>
      <c r="R374" s="21" t="s">
        <v>77</v>
      </c>
      <c r="S374" s="20"/>
      <c r="T374" s="58" t="s">
        <v>1396</v>
      </c>
      <c r="V374" s="26" t="s">
        <v>79</v>
      </c>
      <c r="W374" s="60"/>
      <c r="X374" s="26" t="s">
        <v>80</v>
      </c>
      <c r="Y374" s="60"/>
      <c r="Z374" s="26" t="s">
        <v>79</v>
      </c>
      <c r="AA374" s="60"/>
      <c r="AB374" s="23" t="s">
        <v>753</v>
      </c>
      <c r="AC374" s="60"/>
      <c r="AD374" s="23" t="s">
        <v>1411</v>
      </c>
    </row>
    <row r="375" spans="2:30" ht="84.95">
      <c r="B375" s="21" t="s">
        <v>1156</v>
      </c>
      <c r="C375" s="20"/>
      <c r="D375" s="21" t="s">
        <v>1394</v>
      </c>
      <c r="E375" s="20"/>
      <c r="F375" s="23" t="s">
        <v>254</v>
      </c>
      <c r="H375" s="21" t="s">
        <v>291</v>
      </c>
      <c r="J375" s="21" t="s">
        <v>89</v>
      </c>
      <c r="L375" s="21" t="s">
        <v>737</v>
      </c>
      <c r="N375" s="21" t="s">
        <v>185</v>
      </c>
      <c r="P375" s="21" t="s">
        <v>1135</v>
      </c>
      <c r="R375" s="21" t="s">
        <v>77</v>
      </c>
      <c r="S375" s="20"/>
      <c r="T375" s="58" t="s">
        <v>1396</v>
      </c>
      <c r="V375" s="26" t="s">
        <v>79</v>
      </c>
      <c r="W375" s="60"/>
      <c r="X375" s="26" t="s">
        <v>80</v>
      </c>
      <c r="Y375" s="60"/>
      <c r="Z375" s="26" t="s">
        <v>79</v>
      </c>
      <c r="AA375" s="60"/>
      <c r="AB375" s="26" t="s">
        <v>80</v>
      </c>
      <c r="AC375" s="60"/>
      <c r="AD375" s="23" t="s">
        <v>1412</v>
      </c>
    </row>
    <row r="376" spans="2:30" ht="68.099999999999994">
      <c r="B376" s="21" t="s">
        <v>1413</v>
      </c>
      <c r="C376" s="20"/>
      <c r="D376" s="21" t="s">
        <v>1414</v>
      </c>
      <c r="E376" s="20"/>
      <c r="F376" s="23" t="s">
        <v>254</v>
      </c>
      <c r="H376" s="21" t="s">
        <v>262</v>
      </c>
      <c r="J376" s="21" t="s">
        <v>89</v>
      </c>
      <c r="L376" s="21" t="s">
        <v>737</v>
      </c>
      <c r="N376" s="21" t="s">
        <v>185</v>
      </c>
      <c r="P376" s="21" t="s">
        <v>1415</v>
      </c>
      <c r="R376" s="21" t="s">
        <v>77</v>
      </c>
      <c r="S376" s="20"/>
      <c r="T376" s="58" t="s">
        <v>1416</v>
      </c>
      <c r="V376" s="26" t="s">
        <v>79</v>
      </c>
      <c r="W376" s="60"/>
      <c r="X376" s="26" t="s">
        <v>80</v>
      </c>
      <c r="Y376" s="60"/>
      <c r="Z376" s="26" t="s">
        <v>79</v>
      </c>
      <c r="AA376" s="60"/>
      <c r="AB376" s="26" t="s">
        <v>80</v>
      </c>
      <c r="AD376" s="23" t="s">
        <v>1417</v>
      </c>
    </row>
    <row r="377" spans="2:30" ht="51">
      <c r="B377" s="21" t="s">
        <v>1120</v>
      </c>
      <c r="C377" s="20"/>
      <c r="D377" s="21" t="s">
        <v>1414</v>
      </c>
      <c r="E377" s="20"/>
      <c r="F377" s="23" t="s">
        <v>254</v>
      </c>
      <c r="H377" s="21" t="s">
        <v>364</v>
      </c>
      <c r="J377" s="21" t="s">
        <v>89</v>
      </c>
      <c r="L377" s="21" t="s">
        <v>737</v>
      </c>
      <c r="N377" s="21" t="s">
        <v>185</v>
      </c>
      <c r="P377" s="21" t="s">
        <v>1418</v>
      </c>
      <c r="R377" s="21" t="s">
        <v>77</v>
      </c>
      <c r="S377" s="20"/>
      <c r="T377" s="58" t="s">
        <v>1416</v>
      </c>
      <c r="V377" s="26" t="s">
        <v>79</v>
      </c>
      <c r="W377" s="60"/>
      <c r="X377" s="26" t="s">
        <v>80</v>
      </c>
      <c r="Y377" s="60"/>
      <c r="Z377" s="26" t="s">
        <v>79</v>
      </c>
      <c r="AA377" s="60"/>
      <c r="AB377" s="26" t="s">
        <v>80</v>
      </c>
      <c r="AC377" s="60"/>
      <c r="AD377" s="23" t="s">
        <v>1419</v>
      </c>
    </row>
    <row r="378" spans="2:30" ht="84.95">
      <c r="B378" s="21" t="s">
        <v>1199</v>
      </c>
      <c r="C378" s="20"/>
      <c r="D378" s="21" t="s">
        <v>1414</v>
      </c>
      <c r="E378" s="20"/>
      <c r="F378" s="23" t="s">
        <v>254</v>
      </c>
      <c r="H378" s="21" t="s">
        <v>298</v>
      </c>
      <c r="J378" s="21" t="s">
        <v>89</v>
      </c>
      <c r="L378" s="21" t="s">
        <v>737</v>
      </c>
      <c r="N378" s="21" t="s">
        <v>103</v>
      </c>
      <c r="P378" s="21" t="s">
        <v>1420</v>
      </c>
      <c r="R378" s="21" t="s">
        <v>77</v>
      </c>
      <c r="S378" s="20"/>
      <c r="T378" s="58" t="s">
        <v>1416</v>
      </c>
      <c r="V378" s="26" t="s">
        <v>79</v>
      </c>
      <c r="W378" s="60"/>
      <c r="X378" s="26" t="s">
        <v>80</v>
      </c>
      <c r="Y378" s="60"/>
      <c r="Z378" s="26" t="s">
        <v>79</v>
      </c>
      <c r="AA378" s="60"/>
      <c r="AB378" s="26" t="s">
        <v>80</v>
      </c>
      <c r="AC378" s="60"/>
      <c r="AD378" s="23" t="s">
        <v>1421</v>
      </c>
    </row>
    <row r="379" spans="2:30" ht="51">
      <c r="B379" s="21" t="s">
        <v>1124</v>
      </c>
      <c r="C379" s="20"/>
      <c r="D379" s="21" t="s">
        <v>1414</v>
      </c>
      <c r="E379" s="20"/>
      <c r="F379" s="23" t="s">
        <v>254</v>
      </c>
      <c r="H379" s="21" t="s">
        <v>364</v>
      </c>
      <c r="J379" s="21" t="s">
        <v>89</v>
      </c>
      <c r="L379" s="21" t="s">
        <v>737</v>
      </c>
      <c r="N379" s="21" t="s">
        <v>103</v>
      </c>
      <c r="P379" s="21" t="s">
        <v>1422</v>
      </c>
      <c r="R379" s="21" t="s">
        <v>77</v>
      </c>
      <c r="S379" s="20"/>
      <c r="T379" s="58" t="s">
        <v>1416</v>
      </c>
      <c r="V379" s="26" t="s">
        <v>79</v>
      </c>
      <c r="W379" s="60"/>
      <c r="X379" s="26" t="s">
        <v>80</v>
      </c>
      <c r="Y379" s="60"/>
      <c r="Z379" s="26" t="s">
        <v>79</v>
      </c>
      <c r="AA379" s="60"/>
      <c r="AB379" s="26" t="s">
        <v>80</v>
      </c>
      <c r="AC379" s="60"/>
      <c r="AD379" s="23" t="s">
        <v>1423</v>
      </c>
    </row>
    <row r="380" spans="2:30" ht="204">
      <c r="B380" s="21" t="s">
        <v>1145</v>
      </c>
      <c r="C380" s="20"/>
      <c r="D380" s="21" t="s">
        <v>1414</v>
      </c>
      <c r="E380" s="20"/>
      <c r="F380" s="23" t="s">
        <v>254</v>
      </c>
      <c r="H380" s="21" t="s">
        <v>364</v>
      </c>
      <c r="J380" s="21" t="s">
        <v>89</v>
      </c>
      <c r="L380" s="21" t="s">
        <v>737</v>
      </c>
      <c r="N380" s="21" t="s">
        <v>103</v>
      </c>
      <c r="P380" s="21" t="s">
        <v>1424</v>
      </c>
      <c r="R380" s="21" t="s">
        <v>77</v>
      </c>
      <c r="S380" s="20"/>
      <c r="T380" s="58" t="s">
        <v>1416</v>
      </c>
      <c r="V380" s="26" t="s">
        <v>79</v>
      </c>
      <c r="W380" s="60"/>
      <c r="X380" s="26" t="s">
        <v>80</v>
      </c>
      <c r="Y380" s="60"/>
      <c r="Z380" s="26" t="s">
        <v>79</v>
      </c>
      <c r="AA380" s="60"/>
      <c r="AB380" s="26" t="s">
        <v>80</v>
      </c>
      <c r="AC380" s="60"/>
      <c r="AD380" s="23" t="s">
        <v>1425</v>
      </c>
    </row>
    <row r="381" spans="2:30" ht="51">
      <c r="B381" s="21" t="s">
        <v>1148</v>
      </c>
      <c r="C381" s="20"/>
      <c r="D381" s="21" t="s">
        <v>1414</v>
      </c>
      <c r="E381" s="20"/>
      <c r="F381" s="23" t="s">
        <v>254</v>
      </c>
      <c r="H381" s="21" t="s">
        <v>364</v>
      </c>
      <c r="J381" s="21" t="s">
        <v>89</v>
      </c>
      <c r="L381" s="21" t="s">
        <v>737</v>
      </c>
      <c r="N381" s="21" t="s">
        <v>103</v>
      </c>
      <c r="P381" s="21" t="s">
        <v>1426</v>
      </c>
      <c r="R381" s="21" t="s">
        <v>77</v>
      </c>
      <c r="S381" s="20"/>
      <c r="T381" s="58" t="s">
        <v>1416</v>
      </c>
      <c r="V381" s="26" t="s">
        <v>79</v>
      </c>
      <c r="W381" s="60"/>
      <c r="X381" s="26" t="s">
        <v>80</v>
      </c>
      <c r="Y381" s="60"/>
      <c r="Z381" s="26" t="s">
        <v>79</v>
      </c>
      <c r="AA381" s="60"/>
      <c r="AB381" s="26" t="s">
        <v>80</v>
      </c>
      <c r="AC381" s="60"/>
      <c r="AD381" s="23" t="s">
        <v>1427</v>
      </c>
    </row>
    <row r="382" spans="2:30" ht="51">
      <c r="B382" s="21" t="s">
        <v>1130</v>
      </c>
      <c r="C382" s="20"/>
      <c r="D382" s="21" t="s">
        <v>1414</v>
      </c>
      <c r="E382" s="20"/>
      <c r="F382" s="23" t="s">
        <v>254</v>
      </c>
      <c r="H382" s="21" t="s">
        <v>291</v>
      </c>
      <c r="J382" s="21" t="s">
        <v>89</v>
      </c>
      <c r="L382" s="21" t="s">
        <v>737</v>
      </c>
      <c r="N382" s="21" t="s">
        <v>185</v>
      </c>
      <c r="P382" s="21" t="s">
        <v>1428</v>
      </c>
      <c r="R382" s="21" t="s">
        <v>77</v>
      </c>
      <c r="S382" s="20"/>
      <c r="T382" s="58" t="s">
        <v>1416</v>
      </c>
      <c r="V382" s="26" t="s">
        <v>79</v>
      </c>
      <c r="W382" s="60"/>
      <c r="X382" s="26" t="s">
        <v>80</v>
      </c>
      <c r="Y382" s="60"/>
      <c r="Z382" s="26" t="s">
        <v>79</v>
      </c>
      <c r="AA382" s="60"/>
      <c r="AB382" s="26" t="s">
        <v>80</v>
      </c>
      <c r="AC382" s="60"/>
      <c r="AD382" s="23" t="s">
        <v>1429</v>
      </c>
    </row>
    <row r="383" spans="2:30" ht="51">
      <c r="B383" s="21" t="s">
        <v>1153</v>
      </c>
      <c r="C383" s="20"/>
      <c r="D383" s="21" t="s">
        <v>1414</v>
      </c>
      <c r="E383" s="20"/>
      <c r="F383" s="23" t="s">
        <v>254</v>
      </c>
      <c r="H383" s="21" t="s">
        <v>291</v>
      </c>
      <c r="J383" s="21" t="s">
        <v>89</v>
      </c>
      <c r="L383" s="21" t="s">
        <v>737</v>
      </c>
      <c r="N383" s="21" t="s">
        <v>185</v>
      </c>
      <c r="P383" s="21" t="s">
        <v>1430</v>
      </c>
      <c r="R383" s="21" t="s">
        <v>77</v>
      </c>
      <c r="S383" s="20"/>
      <c r="T383" s="58" t="s">
        <v>1416</v>
      </c>
      <c r="V383" s="26" t="s">
        <v>79</v>
      </c>
      <c r="W383" s="60"/>
      <c r="X383" s="26" t="s">
        <v>80</v>
      </c>
      <c r="Y383" s="60"/>
      <c r="Z383" s="26" t="s">
        <v>79</v>
      </c>
      <c r="AA383" s="60"/>
      <c r="AB383" s="23" t="s">
        <v>753</v>
      </c>
      <c r="AC383" s="60"/>
      <c r="AD383" s="23" t="s">
        <v>1431</v>
      </c>
    </row>
    <row r="384" spans="2:30" ht="84.95">
      <c r="B384" s="21" t="s">
        <v>1156</v>
      </c>
      <c r="C384" s="20"/>
      <c r="D384" s="21" t="s">
        <v>1414</v>
      </c>
      <c r="E384" s="20"/>
      <c r="F384" s="23" t="s">
        <v>254</v>
      </c>
      <c r="H384" s="21" t="s">
        <v>291</v>
      </c>
      <c r="J384" s="21" t="s">
        <v>89</v>
      </c>
      <c r="L384" s="21" t="s">
        <v>737</v>
      </c>
      <c r="N384" s="21" t="s">
        <v>185</v>
      </c>
      <c r="P384" s="21" t="s">
        <v>1135</v>
      </c>
      <c r="R384" s="21" t="s">
        <v>77</v>
      </c>
      <c r="S384" s="20"/>
      <c r="T384" s="58" t="s">
        <v>1416</v>
      </c>
      <c r="V384" s="26" t="s">
        <v>79</v>
      </c>
      <c r="W384" s="60"/>
      <c r="X384" s="26" t="s">
        <v>80</v>
      </c>
      <c r="Y384" s="60"/>
      <c r="Z384" s="26" t="s">
        <v>79</v>
      </c>
      <c r="AA384" s="60"/>
      <c r="AB384" s="26" t="s">
        <v>80</v>
      </c>
      <c r="AC384" s="60"/>
      <c r="AD384" s="23" t="s">
        <v>1432</v>
      </c>
    </row>
    <row r="385" spans="2:30" ht="84.95">
      <c r="B385" s="21" t="s">
        <v>1433</v>
      </c>
      <c r="C385" s="20"/>
      <c r="D385" s="21" t="s">
        <v>1434</v>
      </c>
      <c r="E385" s="20"/>
      <c r="F385" s="23" t="s">
        <v>254</v>
      </c>
      <c r="H385" s="21" t="s">
        <v>262</v>
      </c>
      <c r="J385" s="21" t="s">
        <v>89</v>
      </c>
      <c r="L385" s="21" t="s">
        <v>737</v>
      </c>
      <c r="N385" s="21" t="s">
        <v>103</v>
      </c>
      <c r="P385" s="21" t="s">
        <v>1435</v>
      </c>
      <c r="R385" s="21" t="s">
        <v>77</v>
      </c>
      <c r="S385" s="20"/>
      <c r="T385" s="58" t="s">
        <v>1436</v>
      </c>
      <c r="V385" s="26" t="s">
        <v>79</v>
      </c>
      <c r="W385" s="60"/>
      <c r="X385" s="26" t="s">
        <v>80</v>
      </c>
      <c r="Y385" s="60"/>
      <c r="Z385" s="26" t="s">
        <v>79</v>
      </c>
      <c r="AA385" s="60"/>
      <c r="AB385" s="26" t="s">
        <v>80</v>
      </c>
      <c r="AD385" s="23" t="s">
        <v>1437</v>
      </c>
    </row>
    <row r="386" spans="2:30" ht="51">
      <c r="B386" s="21" t="s">
        <v>1120</v>
      </c>
      <c r="C386" s="20"/>
      <c r="D386" s="21" t="s">
        <v>1434</v>
      </c>
      <c r="E386" s="20"/>
      <c r="F386" s="23" t="s">
        <v>254</v>
      </c>
      <c r="H386" s="21" t="s">
        <v>364</v>
      </c>
      <c r="J386" s="21" t="s">
        <v>89</v>
      </c>
      <c r="L386" s="21" t="s">
        <v>737</v>
      </c>
      <c r="N386" s="21" t="s">
        <v>103</v>
      </c>
      <c r="P386" s="21" t="s">
        <v>1438</v>
      </c>
      <c r="R386" s="21" t="s">
        <v>77</v>
      </c>
      <c r="S386" s="20"/>
      <c r="T386" s="58" t="s">
        <v>1439</v>
      </c>
      <c r="V386" s="26" t="s">
        <v>79</v>
      </c>
      <c r="W386" s="60"/>
      <c r="X386" s="26" t="s">
        <v>80</v>
      </c>
      <c r="Y386" s="60"/>
      <c r="Z386" s="26" t="s">
        <v>79</v>
      </c>
      <c r="AA386" s="60"/>
      <c r="AB386" s="26" t="s">
        <v>80</v>
      </c>
      <c r="AC386" s="60"/>
      <c r="AD386" s="23" t="s">
        <v>1440</v>
      </c>
    </row>
    <row r="387" spans="2:30" ht="51">
      <c r="B387" s="21" t="s">
        <v>1124</v>
      </c>
      <c r="C387" s="20"/>
      <c r="D387" s="21" t="s">
        <v>1434</v>
      </c>
      <c r="E387" s="20"/>
      <c r="F387" s="23" t="s">
        <v>254</v>
      </c>
      <c r="H387" s="21" t="s">
        <v>364</v>
      </c>
      <c r="J387" s="21" t="s">
        <v>89</v>
      </c>
      <c r="L387" s="21" t="s">
        <v>737</v>
      </c>
      <c r="N387" s="21" t="s">
        <v>103</v>
      </c>
      <c r="P387" s="21" t="s">
        <v>1441</v>
      </c>
      <c r="R387" s="21" t="s">
        <v>77</v>
      </c>
      <c r="S387" s="20"/>
      <c r="T387" s="58" t="s">
        <v>1442</v>
      </c>
      <c r="V387" s="26" t="s">
        <v>79</v>
      </c>
      <c r="W387" s="60"/>
      <c r="X387" s="26" t="s">
        <v>80</v>
      </c>
      <c r="Y387" s="60"/>
      <c r="Z387" s="26" t="s">
        <v>79</v>
      </c>
      <c r="AA387" s="60"/>
      <c r="AB387" s="26" t="s">
        <v>80</v>
      </c>
      <c r="AC387" s="60"/>
      <c r="AD387" s="23" t="s">
        <v>1443</v>
      </c>
    </row>
    <row r="388" spans="2:30" ht="221.1">
      <c r="B388" s="21" t="s">
        <v>1145</v>
      </c>
      <c r="C388" s="20"/>
      <c r="D388" s="21" t="s">
        <v>1434</v>
      </c>
      <c r="E388" s="20"/>
      <c r="F388" s="23" t="s">
        <v>254</v>
      </c>
      <c r="H388" s="21" t="s">
        <v>364</v>
      </c>
      <c r="J388" s="21" t="s">
        <v>89</v>
      </c>
      <c r="L388" s="21" t="s">
        <v>737</v>
      </c>
      <c r="N388" s="21" t="s">
        <v>103</v>
      </c>
      <c r="P388" s="21" t="s">
        <v>1444</v>
      </c>
      <c r="R388" s="21" t="s">
        <v>77</v>
      </c>
      <c r="S388" s="20"/>
      <c r="T388" s="58" t="s">
        <v>1445</v>
      </c>
      <c r="V388" s="26" t="s">
        <v>79</v>
      </c>
      <c r="W388" s="60"/>
      <c r="X388" s="26" t="s">
        <v>80</v>
      </c>
      <c r="Y388" s="60"/>
      <c r="Z388" s="26" t="s">
        <v>79</v>
      </c>
      <c r="AA388" s="60"/>
      <c r="AB388" s="26" t="s">
        <v>80</v>
      </c>
      <c r="AC388" s="60"/>
      <c r="AD388" s="23" t="s">
        <v>1446</v>
      </c>
    </row>
    <row r="389" spans="2:30" ht="68.099999999999994">
      <c r="B389" s="21" t="s">
        <v>1148</v>
      </c>
      <c r="C389" s="20"/>
      <c r="D389" s="21" t="s">
        <v>1434</v>
      </c>
      <c r="E389" s="20"/>
      <c r="F389" s="23" t="s">
        <v>254</v>
      </c>
      <c r="H389" s="21" t="s">
        <v>364</v>
      </c>
      <c r="J389" s="21" t="s">
        <v>89</v>
      </c>
      <c r="L389" s="21" t="s">
        <v>737</v>
      </c>
      <c r="N389" s="21" t="s">
        <v>103</v>
      </c>
      <c r="P389" s="21" t="s">
        <v>1447</v>
      </c>
      <c r="R389" s="21" t="s">
        <v>77</v>
      </c>
      <c r="S389" s="20"/>
      <c r="T389" s="58" t="s">
        <v>1448</v>
      </c>
      <c r="V389" s="26" t="s">
        <v>79</v>
      </c>
      <c r="W389" s="60"/>
      <c r="X389" s="26" t="s">
        <v>80</v>
      </c>
      <c r="Y389" s="60"/>
      <c r="Z389" s="26" t="s">
        <v>79</v>
      </c>
      <c r="AA389" s="60"/>
      <c r="AB389" s="26" t="s">
        <v>80</v>
      </c>
      <c r="AC389" s="60"/>
      <c r="AD389" s="23" t="s">
        <v>1449</v>
      </c>
    </row>
    <row r="390" spans="2:30" ht="51">
      <c r="B390" s="21" t="s">
        <v>1130</v>
      </c>
      <c r="C390" s="20"/>
      <c r="D390" s="21" t="s">
        <v>1434</v>
      </c>
      <c r="E390" s="20"/>
      <c r="F390" s="23" t="s">
        <v>254</v>
      </c>
      <c r="H390" s="21" t="s">
        <v>291</v>
      </c>
      <c r="J390" s="21" t="s">
        <v>89</v>
      </c>
      <c r="L390" s="21" t="s">
        <v>737</v>
      </c>
      <c r="N390" s="21" t="s">
        <v>185</v>
      </c>
      <c r="P390" s="21" t="s">
        <v>1450</v>
      </c>
      <c r="R390" s="21" t="s">
        <v>77</v>
      </c>
      <c r="S390" s="20"/>
      <c r="T390" s="58" t="s">
        <v>1451</v>
      </c>
      <c r="V390" s="26" t="s">
        <v>79</v>
      </c>
      <c r="W390" s="60"/>
      <c r="X390" s="26" t="s">
        <v>80</v>
      </c>
      <c r="Y390" s="60"/>
      <c r="Z390" s="26" t="s">
        <v>79</v>
      </c>
      <c r="AA390" s="60"/>
      <c r="AB390" s="26" t="s">
        <v>80</v>
      </c>
      <c r="AC390" s="60"/>
      <c r="AD390" s="23" t="s">
        <v>1452</v>
      </c>
    </row>
    <row r="391" spans="2:30" ht="51">
      <c r="B391" s="21" t="s">
        <v>1153</v>
      </c>
      <c r="C391" s="20"/>
      <c r="D391" s="21" t="s">
        <v>1434</v>
      </c>
      <c r="E391" s="20"/>
      <c r="F391" s="23" t="s">
        <v>254</v>
      </c>
      <c r="H391" s="21" t="s">
        <v>291</v>
      </c>
      <c r="J391" s="21" t="s">
        <v>89</v>
      </c>
      <c r="L391" s="21" t="s">
        <v>737</v>
      </c>
      <c r="N391" s="21" t="s">
        <v>185</v>
      </c>
      <c r="P391" s="21" t="s">
        <v>1453</v>
      </c>
      <c r="R391" s="21" t="s">
        <v>77</v>
      </c>
      <c r="S391" s="20"/>
      <c r="T391" s="58" t="s">
        <v>1454</v>
      </c>
      <c r="V391" s="26" t="s">
        <v>79</v>
      </c>
      <c r="W391" s="60"/>
      <c r="X391" s="26" t="s">
        <v>80</v>
      </c>
      <c r="Y391" s="60"/>
      <c r="Z391" s="26" t="s">
        <v>79</v>
      </c>
      <c r="AA391" s="60"/>
      <c r="AB391" s="23" t="s">
        <v>753</v>
      </c>
      <c r="AC391" s="60"/>
      <c r="AD391" s="23" t="s">
        <v>1455</v>
      </c>
    </row>
    <row r="392" spans="2:30" ht="84.95">
      <c r="B392" s="21" t="s">
        <v>1156</v>
      </c>
      <c r="C392" s="20"/>
      <c r="D392" s="21" t="s">
        <v>1434</v>
      </c>
      <c r="E392" s="20"/>
      <c r="F392" s="23" t="s">
        <v>254</v>
      </c>
      <c r="H392" s="21" t="s">
        <v>291</v>
      </c>
      <c r="J392" s="21" t="s">
        <v>89</v>
      </c>
      <c r="L392" s="21" t="s">
        <v>737</v>
      </c>
      <c r="N392" s="21" t="s">
        <v>185</v>
      </c>
      <c r="P392" s="21" t="s">
        <v>1135</v>
      </c>
      <c r="R392" s="21" t="s">
        <v>77</v>
      </c>
      <c r="S392" s="20"/>
      <c r="T392" s="58" t="s">
        <v>1456</v>
      </c>
      <c r="V392" s="26" t="s">
        <v>79</v>
      </c>
      <c r="W392" s="60"/>
      <c r="X392" s="26" t="s">
        <v>80</v>
      </c>
      <c r="Y392" s="60"/>
      <c r="Z392" s="26" t="s">
        <v>79</v>
      </c>
      <c r="AA392" s="60"/>
      <c r="AB392" s="26" t="s">
        <v>80</v>
      </c>
      <c r="AC392" s="60"/>
      <c r="AD392" s="23" t="s">
        <v>1457</v>
      </c>
    </row>
    <row r="393" spans="2:30" ht="68.099999999999994">
      <c r="B393" s="21" t="s">
        <v>1458</v>
      </c>
      <c r="C393" s="20"/>
      <c r="D393" s="21" t="s">
        <v>1459</v>
      </c>
      <c r="E393" s="20"/>
      <c r="F393" s="23" t="s">
        <v>254</v>
      </c>
      <c r="H393" s="21" t="s">
        <v>262</v>
      </c>
      <c r="J393" s="21" t="s">
        <v>89</v>
      </c>
      <c r="L393" s="21" t="s">
        <v>737</v>
      </c>
      <c r="N393" s="21" t="s">
        <v>103</v>
      </c>
      <c r="P393" s="21" t="s">
        <v>1460</v>
      </c>
      <c r="R393" s="21" t="s">
        <v>77</v>
      </c>
      <c r="S393" s="20"/>
      <c r="T393" s="58" t="s">
        <v>1461</v>
      </c>
      <c r="V393" s="26" t="s">
        <v>79</v>
      </c>
      <c r="W393" s="60"/>
      <c r="X393" s="26" t="s">
        <v>80</v>
      </c>
      <c r="Y393" s="60"/>
      <c r="Z393" s="26" t="s">
        <v>79</v>
      </c>
      <c r="AA393" s="60"/>
      <c r="AB393" s="26" t="s">
        <v>80</v>
      </c>
      <c r="AD393" s="23" t="s">
        <v>1462</v>
      </c>
    </row>
    <row r="394" spans="2:30" ht="33.950000000000003">
      <c r="B394" s="21" t="s">
        <v>1120</v>
      </c>
      <c r="C394" s="20"/>
      <c r="D394" s="21" t="s">
        <v>1459</v>
      </c>
      <c r="E394" s="20"/>
      <c r="F394" s="23" t="s">
        <v>254</v>
      </c>
      <c r="H394" s="21" t="s">
        <v>364</v>
      </c>
      <c r="J394" s="21" t="s">
        <v>89</v>
      </c>
      <c r="L394" s="21" t="s">
        <v>737</v>
      </c>
      <c r="N394" s="21" t="s">
        <v>103</v>
      </c>
      <c r="P394" s="21" t="s">
        <v>1463</v>
      </c>
      <c r="R394" s="21" t="s">
        <v>77</v>
      </c>
      <c r="S394" s="20"/>
      <c r="T394" s="58" t="s">
        <v>1461</v>
      </c>
      <c r="V394" s="26" t="s">
        <v>79</v>
      </c>
      <c r="W394" s="60"/>
      <c r="X394" s="26" t="s">
        <v>80</v>
      </c>
      <c r="Y394" s="60"/>
      <c r="Z394" s="26" t="s">
        <v>79</v>
      </c>
      <c r="AA394" s="60"/>
      <c r="AB394" s="26" t="s">
        <v>80</v>
      </c>
      <c r="AC394" s="60"/>
      <c r="AD394" s="23" t="s">
        <v>1464</v>
      </c>
    </row>
    <row r="395" spans="2:30" ht="51">
      <c r="B395" s="21" t="s">
        <v>1199</v>
      </c>
      <c r="C395" s="20"/>
      <c r="D395" s="21" t="s">
        <v>1459</v>
      </c>
      <c r="E395" s="20"/>
      <c r="F395" s="23" t="s">
        <v>254</v>
      </c>
      <c r="H395" s="21" t="s">
        <v>298</v>
      </c>
      <c r="J395" s="21" t="s">
        <v>89</v>
      </c>
      <c r="L395" s="21" t="s">
        <v>737</v>
      </c>
      <c r="N395" s="21" t="s">
        <v>103</v>
      </c>
      <c r="P395" s="21" t="s">
        <v>1465</v>
      </c>
      <c r="R395" s="21" t="s">
        <v>77</v>
      </c>
      <c r="S395" s="20"/>
      <c r="T395" s="58" t="s">
        <v>1461</v>
      </c>
      <c r="V395" s="26" t="s">
        <v>79</v>
      </c>
      <c r="W395" s="60"/>
      <c r="X395" s="26" t="s">
        <v>80</v>
      </c>
      <c r="Y395" s="60"/>
      <c r="Z395" s="26" t="s">
        <v>79</v>
      </c>
      <c r="AA395" s="60"/>
      <c r="AB395" s="26" t="s">
        <v>80</v>
      </c>
      <c r="AC395" s="60"/>
      <c r="AD395" s="23" t="s">
        <v>1466</v>
      </c>
    </row>
    <row r="396" spans="2:30" ht="53.1" customHeight="1">
      <c r="B396" s="21" t="s">
        <v>1124</v>
      </c>
      <c r="C396" s="20"/>
      <c r="D396" s="21" t="s">
        <v>1459</v>
      </c>
      <c r="E396" s="20"/>
      <c r="F396" s="23" t="s">
        <v>254</v>
      </c>
      <c r="H396" s="21" t="s">
        <v>364</v>
      </c>
      <c r="J396" s="21" t="s">
        <v>89</v>
      </c>
      <c r="L396" s="21" t="s">
        <v>737</v>
      </c>
      <c r="N396" s="21" t="s">
        <v>103</v>
      </c>
      <c r="P396" s="21" t="s">
        <v>1467</v>
      </c>
      <c r="R396" s="21" t="s">
        <v>77</v>
      </c>
      <c r="S396" s="20"/>
      <c r="T396" s="58" t="s">
        <v>1461</v>
      </c>
      <c r="V396" s="26" t="s">
        <v>79</v>
      </c>
      <c r="W396" s="60"/>
      <c r="X396" s="26" t="s">
        <v>80</v>
      </c>
      <c r="Y396" s="60"/>
      <c r="Z396" s="26" t="s">
        <v>79</v>
      </c>
      <c r="AA396" s="60"/>
      <c r="AB396" s="26" t="s">
        <v>80</v>
      </c>
      <c r="AC396" s="60"/>
      <c r="AD396" s="23" t="s">
        <v>1468</v>
      </c>
    </row>
    <row r="397" spans="2:30" ht="186.95">
      <c r="B397" s="21" t="s">
        <v>1145</v>
      </c>
      <c r="C397" s="20"/>
      <c r="D397" s="21" t="s">
        <v>1459</v>
      </c>
      <c r="E397" s="20"/>
      <c r="F397" s="23" t="s">
        <v>254</v>
      </c>
      <c r="H397" s="21" t="s">
        <v>364</v>
      </c>
      <c r="J397" s="21" t="s">
        <v>89</v>
      </c>
      <c r="L397" s="21" t="s">
        <v>737</v>
      </c>
      <c r="N397" s="21" t="s">
        <v>103</v>
      </c>
      <c r="P397" s="21" t="s">
        <v>1469</v>
      </c>
      <c r="R397" s="21" t="s">
        <v>77</v>
      </c>
      <c r="S397" s="20"/>
      <c r="T397" s="58" t="s">
        <v>1461</v>
      </c>
      <c r="V397" s="26" t="s">
        <v>79</v>
      </c>
      <c r="W397" s="60"/>
      <c r="X397" s="26" t="s">
        <v>80</v>
      </c>
      <c r="Y397" s="60"/>
      <c r="Z397" s="26" t="s">
        <v>79</v>
      </c>
      <c r="AA397" s="60"/>
      <c r="AB397" s="26" t="s">
        <v>80</v>
      </c>
      <c r="AC397" s="60"/>
      <c r="AD397" s="23" t="s">
        <v>1470</v>
      </c>
    </row>
    <row r="398" spans="2:30" ht="51">
      <c r="B398" s="21" t="s">
        <v>1148</v>
      </c>
      <c r="C398" s="20"/>
      <c r="D398" s="21" t="s">
        <v>1459</v>
      </c>
      <c r="E398" s="20"/>
      <c r="F398" s="23" t="s">
        <v>254</v>
      </c>
      <c r="H398" s="21" t="s">
        <v>364</v>
      </c>
      <c r="J398" s="21" t="s">
        <v>89</v>
      </c>
      <c r="L398" s="21" t="s">
        <v>737</v>
      </c>
      <c r="N398" s="21" t="s">
        <v>103</v>
      </c>
      <c r="P398" s="21" t="s">
        <v>1471</v>
      </c>
      <c r="R398" s="21" t="s">
        <v>77</v>
      </c>
      <c r="S398" s="20"/>
      <c r="T398" s="58" t="s">
        <v>1461</v>
      </c>
      <c r="V398" s="26" t="s">
        <v>79</v>
      </c>
      <c r="W398" s="60"/>
      <c r="X398" s="26" t="s">
        <v>80</v>
      </c>
      <c r="Y398" s="60"/>
      <c r="Z398" s="26" t="s">
        <v>79</v>
      </c>
      <c r="AA398" s="60"/>
      <c r="AB398" s="26" t="s">
        <v>80</v>
      </c>
      <c r="AC398" s="60"/>
      <c r="AD398" s="23" t="s">
        <v>1472</v>
      </c>
    </row>
    <row r="399" spans="2:30" ht="51">
      <c r="B399" s="21" t="s">
        <v>1130</v>
      </c>
      <c r="C399" s="20"/>
      <c r="D399" s="21" t="s">
        <v>1459</v>
      </c>
      <c r="E399" s="20"/>
      <c r="F399" s="23" t="s">
        <v>254</v>
      </c>
      <c r="H399" s="21" t="s">
        <v>291</v>
      </c>
      <c r="J399" s="21" t="s">
        <v>89</v>
      </c>
      <c r="L399" s="21" t="s">
        <v>737</v>
      </c>
      <c r="N399" s="21" t="s">
        <v>185</v>
      </c>
      <c r="P399" s="21" t="s">
        <v>1473</v>
      </c>
      <c r="R399" s="21" t="s">
        <v>77</v>
      </c>
      <c r="S399" s="20"/>
      <c r="T399" s="58" t="s">
        <v>1461</v>
      </c>
      <c r="V399" s="26" t="s">
        <v>79</v>
      </c>
      <c r="W399" s="60"/>
      <c r="X399" s="26" t="s">
        <v>80</v>
      </c>
      <c r="Y399" s="60"/>
      <c r="Z399" s="26" t="s">
        <v>79</v>
      </c>
      <c r="AA399" s="60"/>
      <c r="AB399" s="26" t="s">
        <v>80</v>
      </c>
      <c r="AC399" s="60"/>
      <c r="AD399" s="23" t="s">
        <v>1474</v>
      </c>
    </row>
    <row r="400" spans="2:30" ht="51">
      <c r="B400" s="21" t="s">
        <v>1153</v>
      </c>
      <c r="C400" s="20"/>
      <c r="D400" s="21" t="s">
        <v>1459</v>
      </c>
      <c r="E400" s="20"/>
      <c r="F400" s="23" t="s">
        <v>254</v>
      </c>
      <c r="H400" s="21" t="s">
        <v>291</v>
      </c>
      <c r="J400" s="21" t="s">
        <v>89</v>
      </c>
      <c r="L400" s="21" t="s">
        <v>737</v>
      </c>
      <c r="N400" s="21" t="s">
        <v>185</v>
      </c>
      <c r="P400" s="21" t="s">
        <v>1475</v>
      </c>
      <c r="R400" s="21" t="s">
        <v>77</v>
      </c>
      <c r="S400" s="20"/>
      <c r="T400" s="58" t="s">
        <v>1461</v>
      </c>
      <c r="V400" s="26" t="s">
        <v>79</v>
      </c>
      <c r="W400" s="60"/>
      <c r="X400" s="26" t="s">
        <v>80</v>
      </c>
      <c r="Y400" s="60"/>
      <c r="Z400" s="26" t="s">
        <v>79</v>
      </c>
      <c r="AA400" s="60"/>
      <c r="AB400" s="23" t="s">
        <v>753</v>
      </c>
      <c r="AC400" s="60"/>
      <c r="AD400" s="23" t="s">
        <v>1476</v>
      </c>
    </row>
    <row r="401" spans="2:30" ht="84.95">
      <c r="B401" s="21" t="s">
        <v>1156</v>
      </c>
      <c r="C401" s="20"/>
      <c r="D401" s="21" t="s">
        <v>1459</v>
      </c>
      <c r="E401" s="20"/>
      <c r="F401" s="23" t="s">
        <v>254</v>
      </c>
      <c r="H401" s="21" t="s">
        <v>291</v>
      </c>
      <c r="J401" s="21" t="s">
        <v>89</v>
      </c>
      <c r="L401" s="21" t="s">
        <v>737</v>
      </c>
      <c r="N401" s="21" t="s">
        <v>185</v>
      </c>
      <c r="P401" s="21" t="s">
        <v>1135</v>
      </c>
      <c r="R401" s="21" t="s">
        <v>77</v>
      </c>
      <c r="S401" s="20"/>
      <c r="T401" s="58" t="s">
        <v>1461</v>
      </c>
      <c r="V401" s="26" t="s">
        <v>79</v>
      </c>
      <c r="W401" s="60"/>
      <c r="X401" s="26" t="s">
        <v>80</v>
      </c>
      <c r="Y401" s="60"/>
      <c r="Z401" s="26" t="s">
        <v>79</v>
      </c>
      <c r="AA401" s="60"/>
      <c r="AB401" s="26" t="s">
        <v>80</v>
      </c>
      <c r="AC401" s="60"/>
      <c r="AD401" s="23" t="s">
        <v>1477</v>
      </c>
    </row>
    <row r="402" spans="2:30" ht="153">
      <c r="B402" s="21" t="s">
        <v>1478</v>
      </c>
      <c r="C402" s="20"/>
      <c r="D402" s="21" t="s">
        <v>628</v>
      </c>
      <c r="E402" s="20"/>
      <c r="F402" s="23" t="s">
        <v>254</v>
      </c>
      <c r="H402" s="21" t="s">
        <v>262</v>
      </c>
      <c r="J402" s="21" t="s">
        <v>89</v>
      </c>
      <c r="L402" s="21" t="s">
        <v>737</v>
      </c>
      <c r="N402" s="21" t="s">
        <v>103</v>
      </c>
      <c r="P402" s="21" t="s">
        <v>1479</v>
      </c>
      <c r="R402" s="21" t="s">
        <v>77</v>
      </c>
      <c r="S402" s="20"/>
      <c r="T402" s="58" t="s">
        <v>1480</v>
      </c>
      <c r="V402" s="26" t="s">
        <v>79</v>
      </c>
      <c r="W402" s="60"/>
      <c r="X402" s="26" t="s">
        <v>80</v>
      </c>
      <c r="Y402" s="60"/>
      <c r="Z402" s="26" t="s">
        <v>79</v>
      </c>
      <c r="AA402" s="60"/>
      <c r="AB402" s="26" t="s">
        <v>80</v>
      </c>
      <c r="AD402" s="23" t="s">
        <v>1481</v>
      </c>
    </row>
    <row r="403" spans="2:30" ht="51">
      <c r="B403" s="21" t="s">
        <v>1482</v>
      </c>
      <c r="C403" s="20"/>
      <c r="D403" s="21" t="s">
        <v>628</v>
      </c>
      <c r="E403" s="20"/>
      <c r="F403" s="23" t="s">
        <v>254</v>
      </c>
      <c r="H403" s="21" t="s">
        <v>364</v>
      </c>
      <c r="J403" s="21" t="s">
        <v>89</v>
      </c>
      <c r="L403" s="21" t="s">
        <v>737</v>
      </c>
      <c r="N403" s="21" t="s">
        <v>103</v>
      </c>
      <c r="P403" s="21" t="s">
        <v>1483</v>
      </c>
      <c r="R403" s="64" t="s">
        <v>1484</v>
      </c>
      <c r="S403" s="20"/>
      <c r="T403" s="58" t="s">
        <v>1480</v>
      </c>
      <c r="V403" s="26" t="s">
        <v>79</v>
      </c>
      <c r="W403" s="60"/>
      <c r="X403" s="26" t="s">
        <v>80</v>
      </c>
      <c r="Y403" s="60"/>
      <c r="Z403" s="26" t="s">
        <v>79</v>
      </c>
      <c r="AA403" s="60"/>
      <c r="AB403" s="26" t="s">
        <v>80</v>
      </c>
      <c r="AC403" s="60"/>
      <c r="AD403" s="23" t="s">
        <v>1481</v>
      </c>
    </row>
    <row r="404" spans="2:30" ht="51">
      <c r="B404" s="21" t="s">
        <v>1120</v>
      </c>
      <c r="C404" s="20"/>
      <c r="D404" s="21" t="s">
        <v>628</v>
      </c>
      <c r="E404" s="20"/>
      <c r="F404" s="23" t="s">
        <v>254</v>
      </c>
      <c r="H404" s="21" t="s">
        <v>364</v>
      </c>
      <c r="J404" s="21" t="s">
        <v>89</v>
      </c>
      <c r="L404" s="21" t="s">
        <v>737</v>
      </c>
      <c r="N404" s="21" t="s">
        <v>103</v>
      </c>
      <c r="P404" s="21" t="s">
        <v>1485</v>
      </c>
      <c r="R404" s="21" t="s">
        <v>77</v>
      </c>
      <c r="S404" s="20"/>
      <c r="T404" s="58" t="s">
        <v>1480</v>
      </c>
      <c r="V404" s="26" t="s">
        <v>79</v>
      </c>
      <c r="W404" s="60"/>
      <c r="X404" s="26" t="s">
        <v>80</v>
      </c>
      <c r="Y404" s="60"/>
      <c r="Z404" s="26" t="s">
        <v>79</v>
      </c>
      <c r="AA404" s="60"/>
      <c r="AB404" s="26" t="s">
        <v>80</v>
      </c>
      <c r="AC404" s="60"/>
      <c r="AD404" s="106" t="s">
        <v>1486</v>
      </c>
    </row>
    <row r="405" spans="2:30" ht="135.94999999999999">
      <c r="B405" s="21" t="s">
        <v>1124</v>
      </c>
      <c r="C405" s="20"/>
      <c r="D405" s="21" t="s">
        <v>628</v>
      </c>
      <c r="E405" s="20"/>
      <c r="F405" s="23" t="s">
        <v>254</v>
      </c>
      <c r="H405" s="21" t="s">
        <v>364</v>
      </c>
      <c r="J405" s="21" t="s">
        <v>89</v>
      </c>
      <c r="L405" s="21" t="s">
        <v>737</v>
      </c>
      <c r="N405" s="21" t="s">
        <v>103</v>
      </c>
      <c r="P405" s="21" t="s">
        <v>1487</v>
      </c>
      <c r="R405" s="21" t="s">
        <v>77</v>
      </c>
      <c r="S405" s="20"/>
      <c r="T405" s="58" t="s">
        <v>1480</v>
      </c>
      <c r="V405" s="26" t="s">
        <v>79</v>
      </c>
      <c r="W405" s="60"/>
      <c r="X405" s="26" t="s">
        <v>80</v>
      </c>
      <c r="Y405" s="60"/>
      <c r="Z405" s="26" t="s">
        <v>79</v>
      </c>
      <c r="AA405" s="60"/>
      <c r="AB405" s="26" t="s">
        <v>80</v>
      </c>
      <c r="AC405" s="60"/>
      <c r="AD405" s="106" t="s">
        <v>1488</v>
      </c>
    </row>
    <row r="406" spans="2:30" ht="204">
      <c r="B406" s="21" t="s">
        <v>1145</v>
      </c>
      <c r="C406" s="20"/>
      <c r="D406" s="21" t="s">
        <v>628</v>
      </c>
      <c r="E406" s="20"/>
      <c r="F406" s="23" t="s">
        <v>254</v>
      </c>
      <c r="H406" s="21" t="s">
        <v>364</v>
      </c>
      <c r="J406" s="21" t="s">
        <v>89</v>
      </c>
      <c r="L406" s="21" t="s">
        <v>737</v>
      </c>
      <c r="N406" s="21" t="s">
        <v>103</v>
      </c>
      <c r="P406" s="21" t="s">
        <v>1489</v>
      </c>
      <c r="R406" s="21" t="s">
        <v>77</v>
      </c>
      <c r="S406" s="20"/>
      <c r="T406" s="58" t="s">
        <v>1480</v>
      </c>
      <c r="V406" s="26" t="s">
        <v>79</v>
      </c>
      <c r="W406" s="60"/>
      <c r="X406" s="26" t="s">
        <v>80</v>
      </c>
      <c r="Y406" s="60"/>
      <c r="Z406" s="26" t="s">
        <v>79</v>
      </c>
      <c r="AA406" s="60"/>
      <c r="AB406" s="26" t="s">
        <v>80</v>
      </c>
      <c r="AC406" s="60"/>
      <c r="AD406" s="106" t="s">
        <v>1490</v>
      </c>
    </row>
    <row r="407" spans="2:30" ht="51">
      <c r="B407" s="21" t="s">
        <v>1148</v>
      </c>
      <c r="C407" s="20"/>
      <c r="D407" s="21" t="s">
        <v>628</v>
      </c>
      <c r="E407" s="20"/>
      <c r="F407" s="23" t="s">
        <v>254</v>
      </c>
      <c r="H407" s="21" t="s">
        <v>364</v>
      </c>
      <c r="J407" s="21" t="s">
        <v>89</v>
      </c>
      <c r="L407" s="21" t="s">
        <v>737</v>
      </c>
      <c r="N407" s="21" t="s">
        <v>103</v>
      </c>
      <c r="P407" s="21" t="s">
        <v>1491</v>
      </c>
      <c r="R407" s="21" t="s">
        <v>77</v>
      </c>
      <c r="S407" s="20"/>
      <c r="T407" s="58" t="s">
        <v>1480</v>
      </c>
      <c r="V407" s="26" t="s">
        <v>79</v>
      </c>
      <c r="W407" s="60"/>
      <c r="X407" s="26" t="s">
        <v>80</v>
      </c>
      <c r="Y407" s="60"/>
      <c r="Z407" s="26" t="s">
        <v>79</v>
      </c>
      <c r="AA407" s="60"/>
      <c r="AB407" s="26" t="s">
        <v>80</v>
      </c>
      <c r="AC407" s="60"/>
      <c r="AD407" s="106" t="s">
        <v>1492</v>
      </c>
    </row>
    <row r="408" spans="2:30" ht="51">
      <c r="B408" s="21" t="s">
        <v>1130</v>
      </c>
      <c r="C408" s="20"/>
      <c r="D408" s="21" t="s">
        <v>628</v>
      </c>
      <c r="E408" s="20"/>
      <c r="F408" s="23" t="s">
        <v>254</v>
      </c>
      <c r="H408" s="21" t="s">
        <v>291</v>
      </c>
      <c r="J408" s="21" t="s">
        <v>89</v>
      </c>
      <c r="L408" s="21" t="s">
        <v>737</v>
      </c>
      <c r="N408" s="21" t="s">
        <v>185</v>
      </c>
      <c r="P408" s="21" t="s">
        <v>1493</v>
      </c>
      <c r="R408" s="21" t="s">
        <v>77</v>
      </c>
      <c r="S408" s="20"/>
      <c r="T408" s="58" t="s">
        <v>1480</v>
      </c>
      <c r="V408" s="26" t="s">
        <v>79</v>
      </c>
      <c r="W408" s="60"/>
      <c r="X408" s="26" t="s">
        <v>80</v>
      </c>
      <c r="Y408" s="60"/>
      <c r="Z408" s="26" t="s">
        <v>79</v>
      </c>
      <c r="AA408" s="60"/>
      <c r="AB408" s="26" t="s">
        <v>80</v>
      </c>
      <c r="AC408" s="60"/>
      <c r="AD408" s="106" t="s">
        <v>1494</v>
      </c>
    </row>
    <row r="409" spans="2:30" ht="51">
      <c r="B409" s="21" t="s">
        <v>1153</v>
      </c>
      <c r="C409" s="20"/>
      <c r="D409" s="21" t="s">
        <v>628</v>
      </c>
      <c r="E409" s="20"/>
      <c r="F409" s="23" t="s">
        <v>254</v>
      </c>
      <c r="H409" s="21" t="s">
        <v>291</v>
      </c>
      <c r="J409" s="21" t="s">
        <v>89</v>
      </c>
      <c r="L409" s="21" t="s">
        <v>737</v>
      </c>
      <c r="N409" s="21" t="s">
        <v>185</v>
      </c>
      <c r="P409" s="21" t="s">
        <v>1495</v>
      </c>
      <c r="R409" s="21" t="s">
        <v>77</v>
      </c>
      <c r="S409" s="20"/>
      <c r="T409" s="58" t="s">
        <v>1480</v>
      </c>
      <c r="V409" s="26" t="s">
        <v>79</v>
      </c>
      <c r="W409" s="60"/>
      <c r="X409" s="26" t="s">
        <v>80</v>
      </c>
      <c r="Y409" s="60"/>
      <c r="Z409" s="26" t="s">
        <v>79</v>
      </c>
      <c r="AA409" s="60"/>
      <c r="AB409" s="23" t="s">
        <v>753</v>
      </c>
      <c r="AC409" s="60"/>
      <c r="AD409" s="106" t="s">
        <v>1496</v>
      </c>
    </row>
    <row r="410" spans="2:30" ht="153">
      <c r="B410" s="21" t="s">
        <v>1156</v>
      </c>
      <c r="C410" s="20"/>
      <c r="D410" s="21" t="s">
        <v>628</v>
      </c>
      <c r="E410" s="20"/>
      <c r="F410" s="23" t="s">
        <v>254</v>
      </c>
      <c r="H410" s="21" t="s">
        <v>291</v>
      </c>
      <c r="J410" s="21" t="s">
        <v>89</v>
      </c>
      <c r="L410" s="21" t="s">
        <v>737</v>
      </c>
      <c r="N410" s="21" t="s">
        <v>185</v>
      </c>
      <c r="P410" s="21" t="s">
        <v>1497</v>
      </c>
      <c r="R410" s="21" t="s">
        <v>77</v>
      </c>
      <c r="S410" s="20"/>
      <c r="T410" s="58" t="s">
        <v>1480</v>
      </c>
      <c r="V410" s="26" t="s">
        <v>79</v>
      </c>
      <c r="W410" s="60"/>
      <c r="X410" s="26" t="s">
        <v>80</v>
      </c>
      <c r="Y410" s="60"/>
      <c r="Z410" s="26" t="s">
        <v>79</v>
      </c>
      <c r="AA410" s="60"/>
      <c r="AB410" s="26" t="s">
        <v>80</v>
      </c>
      <c r="AC410" s="60"/>
      <c r="AD410" s="106" t="s">
        <v>1498</v>
      </c>
    </row>
    <row r="411" spans="2:30" ht="68.099999999999994">
      <c r="B411" s="21" t="s">
        <v>1499</v>
      </c>
      <c r="C411" s="20"/>
      <c r="D411" s="21" t="s">
        <v>628</v>
      </c>
      <c r="E411" s="20"/>
      <c r="F411" s="23" t="s">
        <v>254</v>
      </c>
      <c r="H411" s="21" t="s">
        <v>298</v>
      </c>
      <c r="J411" s="21" t="s">
        <v>89</v>
      </c>
      <c r="L411" s="21" t="s">
        <v>737</v>
      </c>
      <c r="N411" s="21" t="s">
        <v>103</v>
      </c>
      <c r="P411" s="21" t="s">
        <v>1500</v>
      </c>
      <c r="R411" s="21" t="s">
        <v>77</v>
      </c>
      <c r="S411" s="20"/>
      <c r="T411" s="58" t="s">
        <v>1480</v>
      </c>
      <c r="V411" s="26" t="s">
        <v>79</v>
      </c>
      <c r="W411" s="60"/>
      <c r="X411" s="26" t="s">
        <v>80</v>
      </c>
      <c r="Y411" s="60"/>
      <c r="Z411" s="26" t="s">
        <v>79</v>
      </c>
      <c r="AA411" s="60"/>
      <c r="AB411" s="26" t="s">
        <v>80</v>
      </c>
      <c r="AC411" s="60"/>
      <c r="AD411" s="106" t="s">
        <v>1501</v>
      </c>
    </row>
    <row r="412" spans="2:30" ht="119.1">
      <c r="B412" s="21" t="s">
        <v>1502</v>
      </c>
      <c r="C412" s="20"/>
      <c r="D412" s="21" t="s">
        <v>628</v>
      </c>
      <c r="E412" s="20"/>
      <c r="F412" s="23" t="s">
        <v>254</v>
      </c>
      <c r="H412" s="21" t="s">
        <v>291</v>
      </c>
      <c r="J412" s="21" t="s">
        <v>89</v>
      </c>
      <c r="L412" s="21" t="s">
        <v>737</v>
      </c>
      <c r="N412" s="21" t="s">
        <v>103</v>
      </c>
      <c r="P412" s="21" t="s">
        <v>1503</v>
      </c>
      <c r="R412" s="21" t="s">
        <v>77</v>
      </c>
      <c r="S412" s="20"/>
      <c r="T412" s="58" t="s">
        <v>1480</v>
      </c>
      <c r="V412" s="26" t="s">
        <v>79</v>
      </c>
      <c r="W412" s="60"/>
      <c r="X412" s="26" t="s">
        <v>80</v>
      </c>
      <c r="Y412" s="60"/>
      <c r="Z412" s="26" t="s">
        <v>79</v>
      </c>
      <c r="AA412" s="60"/>
      <c r="AB412" s="26" t="s">
        <v>80</v>
      </c>
      <c r="AC412" s="60"/>
      <c r="AD412" s="106" t="s">
        <v>1504</v>
      </c>
    </row>
    <row r="413" spans="2:30" ht="51">
      <c r="B413" s="21" t="s">
        <v>1505</v>
      </c>
      <c r="C413" s="20"/>
      <c r="D413" s="21" t="s">
        <v>628</v>
      </c>
      <c r="E413" s="20"/>
      <c r="F413" s="23" t="s">
        <v>254</v>
      </c>
      <c r="H413" s="21" t="s">
        <v>298</v>
      </c>
      <c r="J413" s="21" t="s">
        <v>89</v>
      </c>
      <c r="L413" s="21" t="s">
        <v>737</v>
      </c>
      <c r="N413" s="21" t="s">
        <v>103</v>
      </c>
      <c r="P413" s="21" t="s">
        <v>1506</v>
      </c>
      <c r="R413" s="21" t="s">
        <v>77</v>
      </c>
      <c r="S413" s="20"/>
      <c r="T413" s="58" t="s">
        <v>1480</v>
      </c>
      <c r="V413" s="26" t="s">
        <v>79</v>
      </c>
      <c r="W413" s="60"/>
      <c r="X413" s="26" t="s">
        <v>80</v>
      </c>
      <c r="Y413" s="60"/>
      <c r="Z413" s="26" t="s">
        <v>79</v>
      </c>
      <c r="AA413" s="60"/>
      <c r="AB413" s="26" t="s">
        <v>80</v>
      </c>
      <c r="AC413" s="60"/>
      <c r="AD413" s="106" t="s">
        <v>1507</v>
      </c>
    </row>
    <row r="414" spans="2:30" ht="51">
      <c r="B414" s="21" t="s">
        <v>1508</v>
      </c>
      <c r="C414" s="20"/>
      <c r="D414" s="21" t="s">
        <v>628</v>
      </c>
      <c r="E414" s="20"/>
      <c r="F414" s="23" t="s">
        <v>254</v>
      </c>
      <c r="H414" s="21" t="s">
        <v>298</v>
      </c>
      <c r="J414" s="21" t="s">
        <v>89</v>
      </c>
      <c r="L414" s="21" t="s">
        <v>737</v>
      </c>
      <c r="N414" s="21" t="s">
        <v>103</v>
      </c>
      <c r="P414" s="21" t="s">
        <v>1509</v>
      </c>
      <c r="R414" s="21" t="s">
        <v>77</v>
      </c>
      <c r="S414" s="20"/>
      <c r="T414" s="58" t="s">
        <v>1480</v>
      </c>
      <c r="V414" s="26" t="s">
        <v>79</v>
      </c>
      <c r="W414" s="60"/>
      <c r="X414" s="26" t="s">
        <v>80</v>
      </c>
      <c r="Y414" s="60"/>
      <c r="Z414" s="26" t="s">
        <v>79</v>
      </c>
      <c r="AA414" s="60"/>
      <c r="AB414" s="26" t="s">
        <v>80</v>
      </c>
      <c r="AC414" s="60"/>
      <c r="AD414" s="106" t="s">
        <v>1510</v>
      </c>
    </row>
    <row r="415" spans="2:30" ht="51">
      <c r="B415" s="21" t="s">
        <v>1511</v>
      </c>
      <c r="C415" s="20"/>
      <c r="D415" s="21" t="s">
        <v>628</v>
      </c>
      <c r="E415" s="20"/>
      <c r="F415" s="23" t="s">
        <v>254</v>
      </c>
      <c r="H415" s="21" t="s">
        <v>298</v>
      </c>
      <c r="J415" s="21" t="s">
        <v>89</v>
      </c>
      <c r="L415" s="21" t="s">
        <v>737</v>
      </c>
      <c r="N415" s="21" t="s">
        <v>103</v>
      </c>
      <c r="P415" s="21" t="s">
        <v>1512</v>
      </c>
      <c r="R415" s="21" t="s">
        <v>77</v>
      </c>
      <c r="S415" s="20"/>
      <c r="T415" s="58" t="s">
        <v>1480</v>
      </c>
      <c r="V415" s="26" t="s">
        <v>79</v>
      </c>
      <c r="W415" s="60"/>
      <c r="X415" s="26" t="s">
        <v>80</v>
      </c>
      <c r="Y415" s="60"/>
      <c r="Z415" s="26" t="s">
        <v>79</v>
      </c>
      <c r="AA415" s="60"/>
      <c r="AB415" s="26" t="s">
        <v>80</v>
      </c>
      <c r="AC415" s="60"/>
      <c r="AD415" s="106" t="s">
        <v>1513</v>
      </c>
    </row>
    <row r="416" spans="2:30" ht="84.95">
      <c r="B416" s="21" t="s">
        <v>1514</v>
      </c>
      <c r="C416" s="20"/>
      <c r="D416" s="21" t="s">
        <v>1515</v>
      </c>
      <c r="E416" s="20"/>
      <c r="F416" s="23" t="s">
        <v>254</v>
      </c>
      <c r="H416" s="21" t="s">
        <v>262</v>
      </c>
      <c r="J416" s="21" t="s">
        <v>89</v>
      </c>
      <c r="L416" s="21" t="s">
        <v>737</v>
      </c>
      <c r="N416" s="21" t="s">
        <v>103</v>
      </c>
      <c r="P416" s="21" t="s">
        <v>1516</v>
      </c>
      <c r="R416" s="21" t="s">
        <v>77</v>
      </c>
      <c r="S416" s="20"/>
      <c r="T416" s="58" t="s">
        <v>1517</v>
      </c>
      <c r="V416" s="26" t="s">
        <v>79</v>
      </c>
      <c r="W416" s="60"/>
      <c r="X416" s="26" t="s">
        <v>80</v>
      </c>
      <c r="Y416" s="60"/>
      <c r="Z416" s="26" t="s">
        <v>79</v>
      </c>
      <c r="AA416" s="60"/>
      <c r="AB416" s="26" t="s">
        <v>80</v>
      </c>
      <c r="AD416" s="23" t="s">
        <v>1518</v>
      </c>
    </row>
    <row r="417" spans="2:30" ht="45.95" customHeight="1">
      <c r="B417" s="21" t="s">
        <v>1120</v>
      </c>
      <c r="C417" s="20"/>
      <c r="D417" s="21" t="s">
        <v>1515</v>
      </c>
      <c r="E417" s="20"/>
      <c r="F417" s="23" t="s">
        <v>254</v>
      </c>
      <c r="H417" s="21" t="s">
        <v>364</v>
      </c>
      <c r="J417" s="21" t="s">
        <v>89</v>
      </c>
      <c r="L417" s="21" t="s">
        <v>737</v>
      </c>
      <c r="N417" s="21" t="s">
        <v>103</v>
      </c>
      <c r="P417" s="21" t="s">
        <v>1519</v>
      </c>
      <c r="R417" s="21" t="s">
        <v>77</v>
      </c>
      <c r="S417" s="20"/>
      <c r="T417" s="58" t="s">
        <v>1517</v>
      </c>
      <c r="V417" s="26" t="s">
        <v>79</v>
      </c>
      <c r="W417" s="60"/>
      <c r="X417" s="26" t="s">
        <v>80</v>
      </c>
      <c r="Y417" s="60"/>
      <c r="Z417" s="26" t="s">
        <v>79</v>
      </c>
      <c r="AA417" s="60"/>
      <c r="AB417" s="26" t="s">
        <v>80</v>
      </c>
      <c r="AC417" s="60"/>
      <c r="AD417" s="23" t="s">
        <v>1520</v>
      </c>
    </row>
    <row r="418" spans="2:30" ht="50.1" customHeight="1">
      <c r="B418" s="21" t="s">
        <v>1124</v>
      </c>
      <c r="C418" s="20"/>
      <c r="D418" s="21" t="s">
        <v>1515</v>
      </c>
      <c r="E418" s="20"/>
      <c r="F418" s="23" t="s">
        <v>254</v>
      </c>
      <c r="J418" s="21" t="s">
        <v>89</v>
      </c>
      <c r="L418" s="21" t="s">
        <v>737</v>
      </c>
      <c r="N418" s="21" t="s">
        <v>103</v>
      </c>
      <c r="P418" s="21" t="s">
        <v>1521</v>
      </c>
      <c r="R418" s="21" t="s">
        <v>77</v>
      </c>
      <c r="S418" s="20"/>
      <c r="T418" s="58" t="s">
        <v>1517</v>
      </c>
      <c r="V418" s="26" t="s">
        <v>79</v>
      </c>
      <c r="W418" s="60"/>
      <c r="X418" s="26" t="s">
        <v>80</v>
      </c>
      <c r="Y418" s="60"/>
      <c r="Z418" s="26" t="s">
        <v>79</v>
      </c>
      <c r="AA418" s="60"/>
      <c r="AB418" s="26" t="s">
        <v>80</v>
      </c>
      <c r="AC418" s="60"/>
      <c r="AD418" s="23" t="s">
        <v>1522</v>
      </c>
    </row>
    <row r="419" spans="2:30" ht="186.95">
      <c r="B419" s="21" t="s">
        <v>1145</v>
      </c>
      <c r="C419" s="20"/>
      <c r="D419" s="21" t="s">
        <v>1515</v>
      </c>
      <c r="E419" s="20"/>
      <c r="F419" s="23" t="s">
        <v>254</v>
      </c>
      <c r="H419" s="21" t="s">
        <v>364</v>
      </c>
      <c r="J419" s="21" t="s">
        <v>89</v>
      </c>
      <c r="L419" s="21" t="s">
        <v>737</v>
      </c>
      <c r="N419" s="21" t="s">
        <v>103</v>
      </c>
      <c r="P419" s="21" t="s">
        <v>1523</v>
      </c>
      <c r="R419" s="21" t="s">
        <v>77</v>
      </c>
      <c r="S419" s="20"/>
      <c r="T419" s="58" t="s">
        <v>1517</v>
      </c>
      <c r="V419" s="26" t="s">
        <v>79</v>
      </c>
      <c r="W419" s="60"/>
      <c r="X419" s="26" t="s">
        <v>80</v>
      </c>
      <c r="Y419" s="60"/>
      <c r="Z419" s="26" t="s">
        <v>79</v>
      </c>
      <c r="AA419" s="60"/>
      <c r="AB419" s="26" t="s">
        <v>80</v>
      </c>
      <c r="AC419" s="60"/>
      <c r="AD419" s="23" t="s">
        <v>1524</v>
      </c>
    </row>
    <row r="420" spans="2:30" ht="51">
      <c r="B420" s="21" t="s">
        <v>1148</v>
      </c>
      <c r="C420" s="20"/>
      <c r="D420" s="21" t="s">
        <v>1515</v>
      </c>
      <c r="E420" s="20"/>
      <c r="F420" s="23" t="s">
        <v>254</v>
      </c>
      <c r="H420" s="21" t="s">
        <v>364</v>
      </c>
      <c r="J420" s="21" t="s">
        <v>89</v>
      </c>
      <c r="L420" s="21" t="s">
        <v>737</v>
      </c>
      <c r="N420" s="21" t="s">
        <v>103</v>
      </c>
      <c r="P420" s="21" t="s">
        <v>1525</v>
      </c>
      <c r="R420" s="21" t="s">
        <v>77</v>
      </c>
      <c r="S420" s="20"/>
      <c r="T420" s="58" t="s">
        <v>1517</v>
      </c>
      <c r="V420" s="26" t="s">
        <v>79</v>
      </c>
      <c r="W420" s="60"/>
      <c r="X420" s="26" t="s">
        <v>80</v>
      </c>
      <c r="Y420" s="60"/>
      <c r="Z420" s="26" t="s">
        <v>79</v>
      </c>
      <c r="AA420" s="60"/>
      <c r="AB420" s="26" t="s">
        <v>80</v>
      </c>
      <c r="AC420" s="60"/>
      <c r="AD420" s="23" t="s">
        <v>1526</v>
      </c>
    </row>
    <row r="421" spans="2:30" ht="68.099999999999994" customHeight="1">
      <c r="B421" s="21" t="s">
        <v>1130</v>
      </c>
      <c r="C421" s="20"/>
      <c r="D421" s="21" t="s">
        <v>1515</v>
      </c>
      <c r="E421" s="20"/>
      <c r="F421" s="23" t="s">
        <v>254</v>
      </c>
      <c r="H421" s="21" t="s">
        <v>291</v>
      </c>
      <c r="J421" s="21" t="s">
        <v>89</v>
      </c>
      <c r="L421" s="21" t="s">
        <v>737</v>
      </c>
      <c r="N421" s="21" t="s">
        <v>185</v>
      </c>
      <c r="P421" s="21" t="s">
        <v>1527</v>
      </c>
      <c r="R421" s="21" t="s">
        <v>77</v>
      </c>
      <c r="S421" s="20"/>
      <c r="T421" s="58" t="s">
        <v>1517</v>
      </c>
      <c r="V421" s="26" t="s">
        <v>79</v>
      </c>
      <c r="W421" s="60"/>
      <c r="X421" s="26" t="s">
        <v>80</v>
      </c>
      <c r="Y421" s="60"/>
      <c r="Z421" s="26" t="s">
        <v>79</v>
      </c>
      <c r="AA421" s="60"/>
      <c r="AB421" s="26" t="s">
        <v>80</v>
      </c>
      <c r="AC421" s="60"/>
      <c r="AD421" s="23" t="s">
        <v>1528</v>
      </c>
    </row>
    <row r="422" spans="2:30" ht="51">
      <c r="B422" s="21" t="s">
        <v>1153</v>
      </c>
      <c r="C422" s="20"/>
      <c r="D422" s="21" t="s">
        <v>1515</v>
      </c>
      <c r="E422" s="20"/>
      <c r="F422" s="23" t="s">
        <v>254</v>
      </c>
      <c r="H422" s="21" t="s">
        <v>291</v>
      </c>
      <c r="J422" s="21" t="s">
        <v>89</v>
      </c>
      <c r="L422" s="21" t="s">
        <v>737</v>
      </c>
      <c r="N422" s="21" t="s">
        <v>185</v>
      </c>
      <c r="P422" s="21" t="s">
        <v>1529</v>
      </c>
      <c r="R422" s="21" t="s">
        <v>77</v>
      </c>
      <c r="S422" s="20"/>
      <c r="T422" s="58" t="s">
        <v>1517</v>
      </c>
      <c r="V422" s="26" t="s">
        <v>79</v>
      </c>
      <c r="W422" s="60"/>
      <c r="X422" s="26" t="s">
        <v>80</v>
      </c>
      <c r="Y422" s="60"/>
      <c r="Z422" s="26" t="s">
        <v>79</v>
      </c>
      <c r="AA422" s="60"/>
      <c r="AB422" s="23" t="s">
        <v>753</v>
      </c>
      <c r="AC422" s="60"/>
      <c r="AD422" s="23" t="s">
        <v>1530</v>
      </c>
    </row>
    <row r="423" spans="2:30" ht="84.95">
      <c r="B423" s="21" t="s">
        <v>1156</v>
      </c>
      <c r="C423" s="20"/>
      <c r="D423" s="21" t="s">
        <v>1515</v>
      </c>
      <c r="E423" s="20"/>
      <c r="F423" s="23" t="s">
        <v>254</v>
      </c>
      <c r="H423" s="21" t="s">
        <v>291</v>
      </c>
      <c r="J423" s="21" t="s">
        <v>89</v>
      </c>
      <c r="L423" s="21" t="s">
        <v>737</v>
      </c>
      <c r="N423" s="21" t="s">
        <v>185</v>
      </c>
      <c r="P423" s="21" t="s">
        <v>1531</v>
      </c>
      <c r="R423" s="21" t="s">
        <v>77</v>
      </c>
      <c r="S423" s="20"/>
      <c r="T423" s="58" t="s">
        <v>1517</v>
      </c>
      <c r="V423" s="26" t="s">
        <v>79</v>
      </c>
      <c r="W423" s="60"/>
      <c r="X423" s="26" t="s">
        <v>80</v>
      </c>
      <c r="Y423" s="60"/>
      <c r="Z423" s="26" t="s">
        <v>79</v>
      </c>
      <c r="AA423" s="60"/>
      <c r="AB423" s="26" t="s">
        <v>80</v>
      </c>
      <c r="AC423" s="60"/>
      <c r="AD423" s="23" t="s">
        <v>1532</v>
      </c>
    </row>
    <row r="424" spans="2:30" ht="68.099999999999994">
      <c r="B424" s="21" t="s">
        <v>1533</v>
      </c>
      <c r="C424" s="20"/>
      <c r="D424" s="21" t="s">
        <v>1534</v>
      </c>
      <c r="E424" s="20"/>
      <c r="F424" s="23" t="s">
        <v>254</v>
      </c>
      <c r="H424" s="21" t="s">
        <v>262</v>
      </c>
      <c r="J424" s="21" t="s">
        <v>89</v>
      </c>
      <c r="L424" s="21" t="s">
        <v>737</v>
      </c>
      <c r="N424" s="21" t="s">
        <v>103</v>
      </c>
      <c r="P424" s="21" t="s">
        <v>1535</v>
      </c>
      <c r="R424" s="21" t="s">
        <v>77</v>
      </c>
      <c r="S424" s="20"/>
      <c r="T424" s="58" t="s">
        <v>1536</v>
      </c>
      <c r="V424" s="26" t="s">
        <v>79</v>
      </c>
      <c r="W424" s="60"/>
      <c r="X424" s="26" t="s">
        <v>80</v>
      </c>
      <c r="Y424" s="60"/>
      <c r="Z424" s="26" t="s">
        <v>79</v>
      </c>
      <c r="AA424" s="60"/>
      <c r="AB424" s="26" t="s">
        <v>80</v>
      </c>
      <c r="AD424" s="23" t="s">
        <v>1537</v>
      </c>
    </row>
    <row r="425" spans="2:30" ht="45" customHeight="1">
      <c r="B425" s="21" t="s">
        <v>1120</v>
      </c>
      <c r="C425" s="20"/>
      <c r="D425" s="21" t="s">
        <v>1534</v>
      </c>
      <c r="E425" s="20"/>
      <c r="F425" s="23" t="s">
        <v>254</v>
      </c>
      <c r="H425" s="21" t="s">
        <v>364</v>
      </c>
      <c r="J425" s="21" t="s">
        <v>89</v>
      </c>
      <c r="L425" s="21" t="s">
        <v>737</v>
      </c>
      <c r="N425" s="21" t="s">
        <v>103</v>
      </c>
      <c r="P425" s="21" t="s">
        <v>1538</v>
      </c>
      <c r="R425" s="21" t="s">
        <v>77</v>
      </c>
      <c r="S425" s="20"/>
      <c r="T425" s="58" t="s">
        <v>1536</v>
      </c>
      <c r="V425" s="26" t="s">
        <v>79</v>
      </c>
      <c r="W425" s="60"/>
      <c r="X425" s="26" t="s">
        <v>80</v>
      </c>
      <c r="Y425" s="60"/>
      <c r="Z425" s="26" t="s">
        <v>79</v>
      </c>
      <c r="AA425" s="60"/>
      <c r="AB425" s="26" t="s">
        <v>80</v>
      </c>
      <c r="AC425" s="60"/>
      <c r="AD425" s="23" t="s">
        <v>1539</v>
      </c>
    </row>
    <row r="426" spans="2:30" ht="48" customHeight="1">
      <c r="B426" s="21" t="s">
        <v>1124</v>
      </c>
      <c r="C426" s="20"/>
      <c r="D426" s="21" t="s">
        <v>1534</v>
      </c>
      <c r="E426" s="20"/>
      <c r="F426" s="23" t="s">
        <v>254</v>
      </c>
      <c r="H426" s="21" t="s">
        <v>364</v>
      </c>
      <c r="J426" s="21" t="s">
        <v>89</v>
      </c>
      <c r="L426" s="21" t="s">
        <v>737</v>
      </c>
      <c r="N426" s="21" t="s">
        <v>103</v>
      </c>
      <c r="P426" s="21" t="s">
        <v>1540</v>
      </c>
      <c r="R426" s="21" t="s">
        <v>77</v>
      </c>
      <c r="S426" s="20"/>
      <c r="T426" s="58" t="s">
        <v>1536</v>
      </c>
      <c r="V426" s="26" t="s">
        <v>79</v>
      </c>
      <c r="W426" s="60"/>
      <c r="X426" s="26" t="s">
        <v>80</v>
      </c>
      <c r="Y426" s="60"/>
      <c r="Z426" s="26" t="s">
        <v>79</v>
      </c>
      <c r="AA426" s="60"/>
      <c r="AB426" s="26" t="s">
        <v>80</v>
      </c>
      <c r="AC426" s="60"/>
      <c r="AD426" s="23" t="s">
        <v>1541</v>
      </c>
    </row>
    <row r="427" spans="2:30" ht="119.1">
      <c r="B427" s="21" t="s">
        <v>1145</v>
      </c>
      <c r="C427" s="20"/>
      <c r="D427" s="21" t="s">
        <v>1534</v>
      </c>
      <c r="E427" s="20"/>
      <c r="F427" s="23" t="s">
        <v>254</v>
      </c>
      <c r="H427" s="21" t="s">
        <v>364</v>
      </c>
      <c r="J427" s="21" t="s">
        <v>89</v>
      </c>
      <c r="L427" s="21" t="s">
        <v>737</v>
      </c>
      <c r="N427" s="21" t="s">
        <v>103</v>
      </c>
      <c r="P427" s="21" t="s">
        <v>1542</v>
      </c>
      <c r="R427" s="21" t="s">
        <v>77</v>
      </c>
      <c r="S427" s="20"/>
      <c r="T427" s="58" t="s">
        <v>1536</v>
      </c>
      <c r="V427" s="26" t="s">
        <v>79</v>
      </c>
      <c r="W427" s="60"/>
      <c r="X427" s="26" t="s">
        <v>80</v>
      </c>
      <c r="Y427" s="60"/>
      <c r="Z427" s="26" t="s">
        <v>79</v>
      </c>
      <c r="AA427" s="60"/>
      <c r="AB427" s="26" t="s">
        <v>80</v>
      </c>
      <c r="AC427" s="60"/>
      <c r="AD427" s="23" t="s">
        <v>1543</v>
      </c>
    </row>
    <row r="428" spans="2:30" ht="51">
      <c r="B428" s="21" t="s">
        <v>1148</v>
      </c>
      <c r="C428" s="20"/>
      <c r="D428" s="21" t="s">
        <v>1534</v>
      </c>
      <c r="E428" s="20"/>
      <c r="F428" s="23" t="s">
        <v>254</v>
      </c>
      <c r="H428" s="21" t="s">
        <v>364</v>
      </c>
      <c r="J428" s="21" t="s">
        <v>89</v>
      </c>
      <c r="L428" s="21" t="s">
        <v>737</v>
      </c>
      <c r="N428" s="21" t="s">
        <v>103</v>
      </c>
      <c r="P428" s="21" t="s">
        <v>1544</v>
      </c>
      <c r="R428" s="21" t="s">
        <v>77</v>
      </c>
      <c r="S428" s="20"/>
      <c r="T428" s="58" t="s">
        <v>1536</v>
      </c>
      <c r="V428" s="26" t="s">
        <v>79</v>
      </c>
      <c r="W428" s="60"/>
      <c r="X428" s="26" t="s">
        <v>80</v>
      </c>
      <c r="Y428" s="60"/>
      <c r="Z428" s="26" t="s">
        <v>79</v>
      </c>
      <c r="AA428" s="60"/>
      <c r="AB428" s="26" t="s">
        <v>80</v>
      </c>
      <c r="AC428" s="60"/>
      <c r="AD428" s="23" t="s">
        <v>1545</v>
      </c>
    </row>
    <row r="429" spans="2:30" ht="51">
      <c r="B429" s="21" t="s">
        <v>1130</v>
      </c>
      <c r="C429" s="20"/>
      <c r="D429" s="21" t="s">
        <v>1534</v>
      </c>
      <c r="E429" s="20"/>
      <c r="F429" s="23" t="s">
        <v>254</v>
      </c>
      <c r="H429" s="21" t="s">
        <v>291</v>
      </c>
      <c r="J429" s="21" t="s">
        <v>89</v>
      </c>
      <c r="L429" s="21" t="s">
        <v>737</v>
      </c>
      <c r="N429" s="21" t="s">
        <v>185</v>
      </c>
      <c r="P429" s="21" t="s">
        <v>1546</v>
      </c>
      <c r="R429" s="21" t="s">
        <v>77</v>
      </c>
      <c r="S429" s="20"/>
      <c r="T429" s="58" t="s">
        <v>1536</v>
      </c>
      <c r="V429" s="26" t="s">
        <v>79</v>
      </c>
      <c r="W429" s="60"/>
      <c r="X429" s="26" t="s">
        <v>80</v>
      </c>
      <c r="Y429" s="60"/>
      <c r="Z429" s="26" t="s">
        <v>79</v>
      </c>
      <c r="AA429" s="60"/>
      <c r="AB429" s="26" t="s">
        <v>80</v>
      </c>
      <c r="AC429" s="60"/>
      <c r="AD429" s="23" t="s">
        <v>1547</v>
      </c>
    </row>
    <row r="430" spans="2:30" ht="51">
      <c r="B430" s="21" t="s">
        <v>1153</v>
      </c>
      <c r="C430" s="20"/>
      <c r="D430" s="21" t="s">
        <v>1534</v>
      </c>
      <c r="E430" s="20"/>
      <c r="F430" s="23" t="s">
        <v>254</v>
      </c>
      <c r="H430" s="21" t="s">
        <v>291</v>
      </c>
      <c r="J430" s="21" t="s">
        <v>89</v>
      </c>
      <c r="L430" s="21" t="s">
        <v>737</v>
      </c>
      <c r="N430" s="21" t="s">
        <v>185</v>
      </c>
      <c r="P430" s="21" t="s">
        <v>1548</v>
      </c>
      <c r="R430" s="21" t="s">
        <v>77</v>
      </c>
      <c r="S430" s="20"/>
      <c r="T430" s="58" t="s">
        <v>1536</v>
      </c>
      <c r="V430" s="26" t="s">
        <v>79</v>
      </c>
      <c r="W430" s="60"/>
      <c r="X430" s="26" t="s">
        <v>80</v>
      </c>
      <c r="Y430" s="60"/>
      <c r="Z430" s="26" t="s">
        <v>79</v>
      </c>
      <c r="AA430" s="60"/>
      <c r="AB430" s="23" t="s">
        <v>753</v>
      </c>
      <c r="AC430" s="60"/>
      <c r="AD430" s="23" t="s">
        <v>1549</v>
      </c>
    </row>
    <row r="431" spans="2:30" ht="84.95">
      <c r="B431" s="21" t="s">
        <v>1156</v>
      </c>
      <c r="C431" s="20"/>
      <c r="D431" s="21" t="s">
        <v>1534</v>
      </c>
      <c r="E431" s="20"/>
      <c r="F431" s="23" t="s">
        <v>254</v>
      </c>
      <c r="H431" s="21" t="s">
        <v>291</v>
      </c>
      <c r="J431" s="21" t="s">
        <v>89</v>
      </c>
      <c r="L431" s="21" t="s">
        <v>737</v>
      </c>
      <c r="N431" s="21" t="s">
        <v>185</v>
      </c>
      <c r="P431" s="21" t="s">
        <v>1531</v>
      </c>
      <c r="R431" s="21" t="s">
        <v>77</v>
      </c>
      <c r="S431" s="20"/>
      <c r="T431" s="58" t="s">
        <v>1536</v>
      </c>
      <c r="V431" s="26" t="s">
        <v>79</v>
      </c>
      <c r="W431" s="60"/>
      <c r="X431" s="26" t="s">
        <v>80</v>
      </c>
      <c r="Y431" s="60"/>
      <c r="Z431" s="26" t="s">
        <v>79</v>
      </c>
      <c r="AA431" s="60"/>
      <c r="AB431" s="26" t="s">
        <v>80</v>
      </c>
      <c r="AC431" s="60"/>
      <c r="AD431" s="23" t="s">
        <v>1550</v>
      </c>
    </row>
    <row r="432" spans="2:30" ht="84.95">
      <c r="B432" s="21" t="s">
        <v>1551</v>
      </c>
      <c r="C432" s="20"/>
      <c r="D432" s="21" t="s">
        <v>625</v>
      </c>
      <c r="E432" s="20"/>
      <c r="F432" s="23" t="s">
        <v>254</v>
      </c>
      <c r="H432" s="21" t="s">
        <v>262</v>
      </c>
      <c r="J432" s="21" t="s">
        <v>89</v>
      </c>
      <c r="L432" s="21" t="s">
        <v>737</v>
      </c>
      <c r="N432" s="21" t="s">
        <v>103</v>
      </c>
      <c r="P432" s="21" t="s">
        <v>1552</v>
      </c>
      <c r="R432" s="21" t="s">
        <v>77</v>
      </c>
      <c r="S432" s="20"/>
      <c r="T432" s="58" t="s">
        <v>1553</v>
      </c>
      <c r="V432" s="26" t="s">
        <v>79</v>
      </c>
      <c r="W432" s="60"/>
      <c r="X432" s="26" t="s">
        <v>80</v>
      </c>
      <c r="Y432" s="60"/>
      <c r="Z432" s="26" t="s">
        <v>79</v>
      </c>
      <c r="AA432" s="60"/>
      <c r="AB432" s="26" t="s">
        <v>80</v>
      </c>
      <c r="AD432" s="23" t="s">
        <v>1554</v>
      </c>
    </row>
    <row r="433" spans="2:30" ht="50.1" customHeight="1">
      <c r="B433" s="21" t="s">
        <v>1120</v>
      </c>
      <c r="C433" s="20"/>
      <c r="D433" s="21" t="s">
        <v>625</v>
      </c>
      <c r="E433" s="20"/>
      <c r="F433" s="23" t="s">
        <v>254</v>
      </c>
      <c r="H433" s="21" t="s">
        <v>364</v>
      </c>
      <c r="J433" s="21" t="s">
        <v>89</v>
      </c>
      <c r="L433" s="21" t="s">
        <v>737</v>
      </c>
      <c r="N433" s="21" t="s">
        <v>103</v>
      </c>
      <c r="P433" s="21" t="s">
        <v>1555</v>
      </c>
      <c r="R433" s="21" t="s">
        <v>77</v>
      </c>
      <c r="S433" s="20"/>
      <c r="T433" s="58" t="s">
        <v>1556</v>
      </c>
      <c r="V433" s="26" t="s">
        <v>79</v>
      </c>
      <c r="W433" s="60"/>
      <c r="X433" s="26" t="s">
        <v>80</v>
      </c>
      <c r="Y433" s="60"/>
      <c r="Z433" s="26" t="s">
        <v>79</v>
      </c>
      <c r="AA433" s="60"/>
      <c r="AB433" s="26" t="s">
        <v>80</v>
      </c>
      <c r="AC433" s="60"/>
      <c r="AD433" s="23" t="s">
        <v>1557</v>
      </c>
    </row>
    <row r="434" spans="2:30" ht="48" customHeight="1">
      <c r="B434" s="21" t="s">
        <v>1124</v>
      </c>
      <c r="C434" s="20"/>
      <c r="D434" s="21" t="s">
        <v>625</v>
      </c>
      <c r="E434" s="20"/>
      <c r="F434" s="23" t="s">
        <v>254</v>
      </c>
      <c r="H434" s="21" t="s">
        <v>364</v>
      </c>
      <c r="J434" s="21" t="s">
        <v>89</v>
      </c>
      <c r="L434" s="21" t="s">
        <v>737</v>
      </c>
      <c r="N434" s="21" t="s">
        <v>103</v>
      </c>
      <c r="P434" s="21" t="s">
        <v>1558</v>
      </c>
      <c r="R434" s="21" t="s">
        <v>77</v>
      </c>
      <c r="S434" s="20"/>
      <c r="T434" s="58" t="s">
        <v>1559</v>
      </c>
      <c r="V434" s="26" t="s">
        <v>79</v>
      </c>
      <c r="W434" s="60"/>
      <c r="X434" s="26" t="s">
        <v>80</v>
      </c>
      <c r="Y434" s="60"/>
      <c r="Z434" s="26" t="s">
        <v>79</v>
      </c>
      <c r="AA434" s="60"/>
      <c r="AB434" s="26" t="s">
        <v>80</v>
      </c>
      <c r="AC434" s="60"/>
      <c r="AD434" s="23" t="s">
        <v>1560</v>
      </c>
    </row>
    <row r="435" spans="2:30" ht="204">
      <c r="B435" s="21" t="s">
        <v>1145</v>
      </c>
      <c r="C435" s="20"/>
      <c r="D435" s="21" t="s">
        <v>625</v>
      </c>
      <c r="E435" s="20"/>
      <c r="F435" s="23" t="s">
        <v>254</v>
      </c>
      <c r="H435" s="21" t="s">
        <v>364</v>
      </c>
      <c r="J435" s="21" t="s">
        <v>89</v>
      </c>
      <c r="L435" s="21" t="s">
        <v>737</v>
      </c>
      <c r="N435" s="21" t="s">
        <v>185</v>
      </c>
      <c r="P435" s="21" t="s">
        <v>1561</v>
      </c>
      <c r="R435" s="21" t="s">
        <v>77</v>
      </c>
      <c r="S435" s="20"/>
      <c r="T435" s="58" t="s">
        <v>1562</v>
      </c>
      <c r="V435" s="26" t="s">
        <v>79</v>
      </c>
      <c r="W435" s="60"/>
      <c r="X435" s="26" t="s">
        <v>80</v>
      </c>
      <c r="Y435" s="60"/>
      <c r="Z435" s="26" t="s">
        <v>79</v>
      </c>
      <c r="AA435" s="60"/>
      <c r="AB435" s="26" t="s">
        <v>80</v>
      </c>
      <c r="AC435" s="60"/>
      <c r="AD435" s="23" t="s">
        <v>1563</v>
      </c>
    </row>
    <row r="436" spans="2:30" ht="51">
      <c r="B436" s="21" t="s">
        <v>1148</v>
      </c>
      <c r="C436" s="20"/>
      <c r="D436" s="21" t="s">
        <v>625</v>
      </c>
      <c r="E436" s="20"/>
      <c r="F436" s="23" t="s">
        <v>254</v>
      </c>
      <c r="H436" s="21" t="s">
        <v>364</v>
      </c>
      <c r="J436" s="21" t="s">
        <v>89</v>
      </c>
      <c r="L436" s="21" t="s">
        <v>737</v>
      </c>
      <c r="N436" s="21" t="s">
        <v>185</v>
      </c>
      <c r="P436" s="21" t="s">
        <v>1564</v>
      </c>
      <c r="R436" s="21" t="s">
        <v>77</v>
      </c>
      <c r="S436" s="20"/>
      <c r="T436" s="58" t="s">
        <v>1565</v>
      </c>
      <c r="V436" s="26" t="s">
        <v>79</v>
      </c>
      <c r="W436" s="60"/>
      <c r="X436" s="26" t="s">
        <v>80</v>
      </c>
      <c r="Y436" s="60"/>
      <c r="Z436" s="26" t="s">
        <v>79</v>
      </c>
      <c r="AA436" s="60"/>
      <c r="AB436" s="26" t="s">
        <v>80</v>
      </c>
      <c r="AC436" s="60"/>
      <c r="AD436" s="23" t="s">
        <v>1566</v>
      </c>
    </row>
    <row r="437" spans="2:30" ht="51">
      <c r="B437" s="21" t="s">
        <v>1130</v>
      </c>
      <c r="C437" s="20"/>
      <c r="D437" s="21" t="s">
        <v>625</v>
      </c>
      <c r="E437" s="20"/>
      <c r="F437" s="23" t="s">
        <v>254</v>
      </c>
      <c r="H437" s="21" t="s">
        <v>291</v>
      </c>
      <c r="J437" s="21" t="s">
        <v>89</v>
      </c>
      <c r="L437" s="21" t="s">
        <v>737</v>
      </c>
      <c r="N437" s="21" t="s">
        <v>185</v>
      </c>
      <c r="P437" s="21" t="s">
        <v>1567</v>
      </c>
      <c r="R437" s="21" t="s">
        <v>77</v>
      </c>
      <c r="S437" s="20"/>
      <c r="T437" s="58" t="s">
        <v>1568</v>
      </c>
      <c r="V437" s="26" t="s">
        <v>79</v>
      </c>
      <c r="W437" s="60"/>
      <c r="X437" s="26" t="s">
        <v>80</v>
      </c>
      <c r="Y437" s="60"/>
      <c r="Z437" s="26" t="s">
        <v>79</v>
      </c>
      <c r="AA437" s="60"/>
      <c r="AB437" s="26" t="s">
        <v>80</v>
      </c>
      <c r="AC437" s="60"/>
      <c r="AD437" s="23" t="s">
        <v>1569</v>
      </c>
    </row>
    <row r="438" spans="2:30" ht="51">
      <c r="B438" s="21" t="s">
        <v>1153</v>
      </c>
      <c r="C438" s="20"/>
      <c r="D438" s="21" t="s">
        <v>625</v>
      </c>
      <c r="E438" s="20"/>
      <c r="F438" s="23" t="s">
        <v>254</v>
      </c>
      <c r="H438" s="21" t="s">
        <v>291</v>
      </c>
      <c r="J438" s="21" t="s">
        <v>89</v>
      </c>
      <c r="L438" s="21" t="s">
        <v>737</v>
      </c>
      <c r="N438" s="21" t="s">
        <v>185</v>
      </c>
      <c r="P438" s="21" t="s">
        <v>1570</v>
      </c>
      <c r="R438" s="21" t="s">
        <v>77</v>
      </c>
      <c r="S438" s="20"/>
      <c r="T438" s="58" t="s">
        <v>1571</v>
      </c>
      <c r="V438" s="26" t="s">
        <v>79</v>
      </c>
      <c r="W438" s="60"/>
      <c r="X438" s="26" t="s">
        <v>80</v>
      </c>
      <c r="Y438" s="60"/>
      <c r="Z438" s="26" t="s">
        <v>79</v>
      </c>
      <c r="AA438" s="60"/>
      <c r="AB438" s="23" t="s">
        <v>753</v>
      </c>
      <c r="AC438" s="60"/>
      <c r="AD438" s="23" t="s">
        <v>1572</v>
      </c>
    </row>
    <row r="439" spans="2:30" ht="84.95">
      <c r="B439" s="21" t="s">
        <v>1156</v>
      </c>
      <c r="C439" s="20"/>
      <c r="D439" s="21" t="s">
        <v>625</v>
      </c>
      <c r="E439" s="20"/>
      <c r="F439" s="23" t="s">
        <v>254</v>
      </c>
      <c r="H439" s="21" t="s">
        <v>291</v>
      </c>
      <c r="J439" s="21" t="s">
        <v>89</v>
      </c>
      <c r="L439" s="21" t="s">
        <v>737</v>
      </c>
      <c r="N439" s="21" t="s">
        <v>185</v>
      </c>
      <c r="P439" s="21" t="s">
        <v>1135</v>
      </c>
      <c r="R439" s="21" t="s">
        <v>77</v>
      </c>
      <c r="S439" s="20"/>
      <c r="T439" s="58" t="s">
        <v>1573</v>
      </c>
      <c r="V439" s="26" t="s">
        <v>79</v>
      </c>
      <c r="W439" s="60"/>
      <c r="X439" s="26" t="s">
        <v>80</v>
      </c>
      <c r="Y439" s="60"/>
      <c r="Z439" s="26" t="s">
        <v>79</v>
      </c>
      <c r="AA439" s="60"/>
      <c r="AB439" s="26" t="s">
        <v>80</v>
      </c>
      <c r="AC439" s="60"/>
      <c r="AD439" s="23" t="s">
        <v>1574</v>
      </c>
    </row>
    <row r="440" spans="2:30" ht="68.099999999999994">
      <c r="B440" s="21" t="s">
        <v>1575</v>
      </c>
      <c r="C440" s="20"/>
      <c r="D440" s="21" t="s">
        <v>1576</v>
      </c>
      <c r="E440" s="20"/>
      <c r="F440" s="23" t="s">
        <v>254</v>
      </c>
      <c r="H440" s="21" t="s">
        <v>262</v>
      </c>
      <c r="J440" s="21" t="s">
        <v>89</v>
      </c>
      <c r="L440" s="21" t="s">
        <v>737</v>
      </c>
      <c r="N440" s="21" t="s">
        <v>103</v>
      </c>
      <c r="P440" s="21" t="s">
        <v>1577</v>
      </c>
      <c r="R440" s="21" t="s">
        <v>77</v>
      </c>
      <c r="S440" s="20"/>
      <c r="T440" s="58" t="s">
        <v>1578</v>
      </c>
      <c r="V440" s="26" t="s">
        <v>79</v>
      </c>
      <c r="W440" s="60"/>
      <c r="X440" s="26" t="s">
        <v>80</v>
      </c>
      <c r="Y440" s="60"/>
      <c r="Z440" s="26" t="s">
        <v>79</v>
      </c>
      <c r="AA440" s="60"/>
      <c r="AB440" s="26" t="s">
        <v>80</v>
      </c>
      <c r="AD440" s="23" t="s">
        <v>1579</v>
      </c>
    </row>
    <row r="441" spans="2:30" ht="33.950000000000003">
      <c r="B441" s="21" t="s">
        <v>1120</v>
      </c>
      <c r="C441" s="20"/>
      <c r="D441" s="21" t="s">
        <v>1576</v>
      </c>
      <c r="E441" s="20"/>
      <c r="F441" s="23" t="s">
        <v>254</v>
      </c>
      <c r="H441" s="21" t="s">
        <v>364</v>
      </c>
      <c r="J441" s="21" t="s">
        <v>89</v>
      </c>
      <c r="L441" s="21" t="s">
        <v>737</v>
      </c>
      <c r="N441" s="21" t="s">
        <v>103</v>
      </c>
      <c r="P441" s="21" t="s">
        <v>1580</v>
      </c>
      <c r="R441" s="21" t="s">
        <v>77</v>
      </c>
      <c r="S441" s="20"/>
      <c r="T441" s="58" t="s">
        <v>1578</v>
      </c>
      <c r="V441" s="26" t="s">
        <v>79</v>
      </c>
      <c r="W441" s="60"/>
      <c r="X441" s="26" t="s">
        <v>80</v>
      </c>
      <c r="Y441" s="60"/>
      <c r="Z441" s="26" t="s">
        <v>79</v>
      </c>
      <c r="AA441" s="60"/>
      <c r="AB441" s="26" t="s">
        <v>80</v>
      </c>
      <c r="AC441" s="60"/>
      <c r="AD441" s="23" t="s">
        <v>1581</v>
      </c>
    </row>
    <row r="442" spans="2:30" ht="33.950000000000003">
      <c r="B442" s="21" t="s">
        <v>1124</v>
      </c>
      <c r="C442" s="20"/>
      <c r="D442" s="21" t="s">
        <v>1576</v>
      </c>
      <c r="E442" s="20"/>
      <c r="F442" s="23" t="s">
        <v>254</v>
      </c>
      <c r="H442" s="21" t="s">
        <v>364</v>
      </c>
      <c r="J442" s="21" t="s">
        <v>89</v>
      </c>
      <c r="L442" s="21" t="s">
        <v>737</v>
      </c>
      <c r="N442" s="21" t="s">
        <v>103</v>
      </c>
      <c r="P442" s="21" t="s">
        <v>1582</v>
      </c>
      <c r="R442" s="21" t="s">
        <v>77</v>
      </c>
      <c r="S442" s="20"/>
      <c r="T442" s="58" t="s">
        <v>1578</v>
      </c>
      <c r="V442" s="26" t="s">
        <v>79</v>
      </c>
      <c r="W442" s="60"/>
      <c r="X442" s="26" t="s">
        <v>80</v>
      </c>
      <c r="Y442" s="60"/>
      <c r="Z442" s="26" t="s">
        <v>79</v>
      </c>
      <c r="AA442" s="60"/>
      <c r="AB442" s="26" t="s">
        <v>80</v>
      </c>
      <c r="AC442" s="60"/>
      <c r="AD442" s="23" t="s">
        <v>1583</v>
      </c>
    </row>
    <row r="443" spans="2:30" ht="135.94999999999999">
      <c r="B443" s="21" t="s">
        <v>1145</v>
      </c>
      <c r="C443" s="20"/>
      <c r="D443" s="21" t="s">
        <v>1576</v>
      </c>
      <c r="E443" s="20"/>
      <c r="F443" s="23" t="s">
        <v>254</v>
      </c>
      <c r="H443" s="21" t="s">
        <v>364</v>
      </c>
      <c r="J443" s="21" t="s">
        <v>89</v>
      </c>
      <c r="L443" s="21" t="s">
        <v>737</v>
      </c>
      <c r="N443" s="21" t="s">
        <v>185</v>
      </c>
      <c r="P443" s="21" t="s">
        <v>1584</v>
      </c>
      <c r="R443" s="21" t="s">
        <v>77</v>
      </c>
      <c r="S443" s="20"/>
      <c r="T443" s="58" t="s">
        <v>1578</v>
      </c>
      <c r="V443" s="26" t="s">
        <v>79</v>
      </c>
      <c r="W443" s="60"/>
      <c r="X443" s="26" t="s">
        <v>80</v>
      </c>
      <c r="Y443" s="60"/>
      <c r="Z443" s="26" t="s">
        <v>79</v>
      </c>
      <c r="AA443" s="60"/>
      <c r="AB443" s="26" t="s">
        <v>80</v>
      </c>
      <c r="AC443" s="60"/>
      <c r="AD443" s="23" t="s">
        <v>1585</v>
      </c>
    </row>
    <row r="444" spans="2:30" ht="51">
      <c r="B444" s="21" t="s">
        <v>1148</v>
      </c>
      <c r="C444" s="20"/>
      <c r="D444" s="21" t="s">
        <v>1576</v>
      </c>
      <c r="E444" s="20"/>
      <c r="F444" s="23" t="s">
        <v>254</v>
      </c>
      <c r="H444" s="21" t="s">
        <v>364</v>
      </c>
      <c r="J444" s="21" t="s">
        <v>89</v>
      </c>
      <c r="L444" s="21" t="s">
        <v>737</v>
      </c>
      <c r="N444" s="21" t="s">
        <v>185</v>
      </c>
      <c r="P444" s="21" t="s">
        <v>1586</v>
      </c>
      <c r="R444" s="21" t="s">
        <v>77</v>
      </c>
      <c r="S444" s="20"/>
      <c r="T444" s="58" t="s">
        <v>1578</v>
      </c>
      <c r="V444" s="26" t="s">
        <v>79</v>
      </c>
      <c r="W444" s="60"/>
      <c r="X444" s="26" t="s">
        <v>80</v>
      </c>
      <c r="Y444" s="60"/>
      <c r="Z444" s="26" t="s">
        <v>79</v>
      </c>
      <c r="AA444" s="60"/>
      <c r="AB444" s="26" t="s">
        <v>80</v>
      </c>
      <c r="AC444" s="60"/>
      <c r="AD444" s="23" t="s">
        <v>1587</v>
      </c>
    </row>
    <row r="445" spans="2:30" ht="51">
      <c r="B445" s="21" t="s">
        <v>1130</v>
      </c>
      <c r="C445" s="20"/>
      <c r="D445" s="21" t="s">
        <v>1576</v>
      </c>
      <c r="E445" s="20"/>
      <c r="F445" s="23" t="s">
        <v>254</v>
      </c>
      <c r="H445" s="21" t="s">
        <v>291</v>
      </c>
      <c r="J445" s="21" t="s">
        <v>89</v>
      </c>
      <c r="L445" s="21" t="s">
        <v>737</v>
      </c>
      <c r="N445" s="21" t="s">
        <v>185</v>
      </c>
      <c r="P445" s="21" t="s">
        <v>1588</v>
      </c>
      <c r="R445" s="21" t="s">
        <v>77</v>
      </c>
      <c r="S445" s="20"/>
      <c r="T445" s="58" t="s">
        <v>1578</v>
      </c>
      <c r="V445" s="26" t="s">
        <v>79</v>
      </c>
      <c r="W445" s="60"/>
      <c r="X445" s="26" t="s">
        <v>80</v>
      </c>
      <c r="Y445" s="60"/>
      <c r="Z445" s="26" t="s">
        <v>79</v>
      </c>
      <c r="AA445" s="60"/>
      <c r="AB445" s="26" t="s">
        <v>80</v>
      </c>
      <c r="AC445" s="60"/>
      <c r="AD445" s="23" t="s">
        <v>1589</v>
      </c>
    </row>
    <row r="446" spans="2:30" ht="51">
      <c r="B446" s="21" t="s">
        <v>1153</v>
      </c>
      <c r="C446" s="20"/>
      <c r="D446" s="21" t="s">
        <v>1576</v>
      </c>
      <c r="E446" s="20"/>
      <c r="F446" s="23" t="s">
        <v>254</v>
      </c>
      <c r="H446" s="21" t="s">
        <v>291</v>
      </c>
      <c r="J446" s="21" t="s">
        <v>89</v>
      </c>
      <c r="L446" s="21" t="s">
        <v>737</v>
      </c>
      <c r="N446" s="21" t="s">
        <v>185</v>
      </c>
      <c r="P446" s="21" t="s">
        <v>1590</v>
      </c>
      <c r="R446" s="21" t="s">
        <v>77</v>
      </c>
      <c r="S446" s="20"/>
      <c r="T446" s="58" t="s">
        <v>1578</v>
      </c>
      <c r="V446" s="26" t="s">
        <v>79</v>
      </c>
      <c r="W446" s="60"/>
      <c r="X446" s="26" t="s">
        <v>80</v>
      </c>
      <c r="Y446" s="60"/>
      <c r="Z446" s="26" t="s">
        <v>79</v>
      </c>
      <c r="AA446" s="60"/>
      <c r="AB446" s="23" t="s">
        <v>753</v>
      </c>
      <c r="AC446" s="60"/>
      <c r="AD446" s="23" t="s">
        <v>1591</v>
      </c>
    </row>
    <row r="447" spans="2:30" ht="84.95">
      <c r="B447" s="21" t="s">
        <v>1156</v>
      </c>
      <c r="C447" s="20"/>
      <c r="D447" s="21" t="s">
        <v>1576</v>
      </c>
      <c r="E447" s="20"/>
      <c r="F447" s="23" t="s">
        <v>254</v>
      </c>
      <c r="H447" s="21" t="s">
        <v>291</v>
      </c>
      <c r="J447" s="21" t="s">
        <v>89</v>
      </c>
      <c r="L447" s="21" t="s">
        <v>737</v>
      </c>
      <c r="N447" s="21" t="s">
        <v>185</v>
      </c>
      <c r="P447" s="21" t="s">
        <v>1531</v>
      </c>
      <c r="R447" s="21" t="s">
        <v>77</v>
      </c>
      <c r="S447" s="20"/>
      <c r="T447" s="58" t="s">
        <v>1578</v>
      </c>
      <c r="V447" s="26" t="s">
        <v>79</v>
      </c>
      <c r="W447" s="60"/>
      <c r="X447" s="26" t="s">
        <v>80</v>
      </c>
      <c r="Y447" s="60"/>
      <c r="Z447" s="26" t="s">
        <v>79</v>
      </c>
      <c r="AA447" s="60"/>
      <c r="AB447" s="26" t="s">
        <v>80</v>
      </c>
      <c r="AC447" s="60"/>
      <c r="AD447" s="23" t="s">
        <v>1592</v>
      </c>
    </row>
    <row r="448" spans="2:30" ht="102">
      <c r="B448" s="21" t="s">
        <v>1593</v>
      </c>
      <c r="C448" s="20"/>
      <c r="D448" s="21" t="s">
        <v>1594</v>
      </c>
      <c r="E448" s="20"/>
      <c r="F448" s="23" t="s">
        <v>254</v>
      </c>
      <c r="H448" s="21" t="s">
        <v>262</v>
      </c>
      <c r="J448" s="21" t="s">
        <v>89</v>
      </c>
      <c r="L448" s="21" t="s">
        <v>737</v>
      </c>
      <c r="N448" s="21" t="s">
        <v>103</v>
      </c>
      <c r="P448" s="21" t="s">
        <v>1595</v>
      </c>
      <c r="R448" s="21" t="s">
        <v>77</v>
      </c>
      <c r="S448" s="20"/>
      <c r="T448" s="58" t="s">
        <v>1596</v>
      </c>
      <c r="V448" s="26" t="s">
        <v>79</v>
      </c>
      <c r="W448" s="60"/>
      <c r="X448" s="26" t="s">
        <v>80</v>
      </c>
      <c r="Y448" s="60"/>
      <c r="Z448" s="26" t="s">
        <v>79</v>
      </c>
      <c r="AA448" s="60"/>
      <c r="AB448" s="26" t="s">
        <v>80</v>
      </c>
      <c r="AD448" s="23" t="s">
        <v>1597</v>
      </c>
    </row>
    <row r="449" spans="2:30" ht="48" customHeight="1">
      <c r="B449" s="21" t="s">
        <v>1120</v>
      </c>
      <c r="C449" s="20"/>
      <c r="D449" s="21" t="s">
        <v>1594</v>
      </c>
      <c r="E449" s="20"/>
      <c r="F449" s="23" t="s">
        <v>254</v>
      </c>
      <c r="H449" s="21" t="s">
        <v>364</v>
      </c>
      <c r="J449" s="21" t="s">
        <v>89</v>
      </c>
      <c r="L449" s="21" t="s">
        <v>737</v>
      </c>
      <c r="N449" s="21" t="s">
        <v>103</v>
      </c>
      <c r="P449" s="21" t="s">
        <v>1598</v>
      </c>
      <c r="R449" s="21" t="s">
        <v>77</v>
      </c>
      <c r="S449" s="20"/>
      <c r="T449" s="58" t="s">
        <v>1596</v>
      </c>
      <c r="V449" s="26" t="s">
        <v>79</v>
      </c>
      <c r="W449" s="60"/>
      <c r="X449" s="26" t="s">
        <v>80</v>
      </c>
      <c r="Y449" s="60"/>
      <c r="Z449" s="26" t="s">
        <v>79</v>
      </c>
      <c r="AA449" s="60"/>
      <c r="AB449" s="26" t="s">
        <v>80</v>
      </c>
      <c r="AC449" s="60"/>
      <c r="AD449" s="23" t="s">
        <v>1599</v>
      </c>
    </row>
    <row r="450" spans="2:30" ht="50.1" customHeight="1">
      <c r="B450" s="21" t="s">
        <v>1124</v>
      </c>
      <c r="C450" s="20"/>
      <c r="D450" s="21" t="s">
        <v>1594</v>
      </c>
      <c r="E450" s="20"/>
      <c r="F450" s="23" t="s">
        <v>254</v>
      </c>
      <c r="H450" s="21" t="s">
        <v>364</v>
      </c>
      <c r="J450" s="21" t="s">
        <v>89</v>
      </c>
      <c r="L450" s="21" t="s">
        <v>737</v>
      </c>
      <c r="N450" s="21" t="s">
        <v>103</v>
      </c>
      <c r="P450" s="21" t="s">
        <v>1600</v>
      </c>
      <c r="R450" s="21" t="s">
        <v>77</v>
      </c>
      <c r="S450" s="20"/>
      <c r="T450" s="58" t="s">
        <v>1596</v>
      </c>
      <c r="V450" s="26" t="s">
        <v>79</v>
      </c>
      <c r="W450" s="60"/>
      <c r="X450" s="26" t="s">
        <v>80</v>
      </c>
      <c r="Y450" s="60"/>
      <c r="Z450" s="26" t="s">
        <v>79</v>
      </c>
      <c r="AA450" s="60"/>
      <c r="AB450" s="26" t="s">
        <v>80</v>
      </c>
      <c r="AC450" s="60"/>
      <c r="AD450" s="23" t="s">
        <v>1601</v>
      </c>
    </row>
    <row r="451" spans="2:30" ht="204">
      <c r="B451" s="21" t="s">
        <v>1145</v>
      </c>
      <c r="C451" s="20"/>
      <c r="D451" s="21" t="s">
        <v>1594</v>
      </c>
      <c r="E451" s="20"/>
      <c r="F451" s="23" t="s">
        <v>254</v>
      </c>
      <c r="H451" s="21" t="s">
        <v>364</v>
      </c>
      <c r="J451" s="21" t="s">
        <v>89</v>
      </c>
      <c r="L451" s="21" t="s">
        <v>737</v>
      </c>
      <c r="N451" s="21" t="s">
        <v>185</v>
      </c>
      <c r="P451" s="21" t="s">
        <v>1602</v>
      </c>
      <c r="R451" s="21" t="s">
        <v>77</v>
      </c>
      <c r="S451" s="20"/>
      <c r="T451" s="58" t="s">
        <v>1596</v>
      </c>
      <c r="V451" s="26" t="s">
        <v>79</v>
      </c>
      <c r="W451" s="60"/>
      <c r="X451" s="26" t="s">
        <v>80</v>
      </c>
      <c r="Y451" s="60"/>
      <c r="Z451" s="26" t="s">
        <v>79</v>
      </c>
      <c r="AA451" s="60"/>
      <c r="AB451" s="26" t="s">
        <v>80</v>
      </c>
      <c r="AC451" s="60"/>
      <c r="AD451" s="23" t="s">
        <v>1603</v>
      </c>
    </row>
    <row r="452" spans="2:30" ht="51">
      <c r="B452" s="21" t="s">
        <v>1148</v>
      </c>
      <c r="C452" s="20"/>
      <c r="D452" s="21" t="s">
        <v>1594</v>
      </c>
      <c r="E452" s="20"/>
      <c r="F452" s="23" t="s">
        <v>254</v>
      </c>
      <c r="H452" s="21" t="s">
        <v>364</v>
      </c>
      <c r="J452" s="21" t="s">
        <v>89</v>
      </c>
      <c r="L452" s="21" t="s">
        <v>737</v>
      </c>
      <c r="N452" s="21" t="s">
        <v>185</v>
      </c>
      <c r="P452" s="21" t="s">
        <v>1604</v>
      </c>
      <c r="R452" s="21" t="s">
        <v>77</v>
      </c>
      <c r="S452" s="20"/>
      <c r="T452" s="58" t="s">
        <v>1596</v>
      </c>
      <c r="V452" s="26" t="s">
        <v>79</v>
      </c>
      <c r="W452" s="60"/>
      <c r="X452" s="26" t="s">
        <v>80</v>
      </c>
      <c r="Y452" s="60"/>
      <c r="Z452" s="26" t="s">
        <v>79</v>
      </c>
      <c r="AA452" s="60"/>
      <c r="AB452" s="26" t="s">
        <v>80</v>
      </c>
      <c r="AC452" s="60"/>
      <c r="AD452" s="23" t="s">
        <v>1605</v>
      </c>
    </row>
    <row r="453" spans="2:30" ht="51">
      <c r="B453" s="21" t="s">
        <v>1130</v>
      </c>
      <c r="C453" s="20"/>
      <c r="D453" s="21" t="s">
        <v>1594</v>
      </c>
      <c r="E453" s="20"/>
      <c r="F453" s="23" t="s">
        <v>254</v>
      </c>
      <c r="H453" s="21" t="s">
        <v>291</v>
      </c>
      <c r="J453" s="21" t="s">
        <v>89</v>
      </c>
      <c r="L453" s="21" t="s">
        <v>737</v>
      </c>
      <c r="N453" s="21" t="s">
        <v>185</v>
      </c>
      <c r="P453" s="21" t="s">
        <v>1606</v>
      </c>
      <c r="R453" s="21" t="s">
        <v>77</v>
      </c>
      <c r="S453" s="20"/>
      <c r="T453" s="58" t="s">
        <v>1596</v>
      </c>
      <c r="V453" s="26" t="s">
        <v>79</v>
      </c>
      <c r="W453" s="60"/>
      <c r="X453" s="26" t="s">
        <v>80</v>
      </c>
      <c r="Y453" s="60"/>
      <c r="Z453" s="26" t="s">
        <v>79</v>
      </c>
      <c r="AA453" s="60"/>
      <c r="AB453" s="26" t="s">
        <v>80</v>
      </c>
      <c r="AC453" s="60"/>
      <c r="AD453" s="23" t="s">
        <v>1607</v>
      </c>
    </row>
    <row r="454" spans="2:30" ht="51">
      <c r="B454" s="21" t="s">
        <v>1153</v>
      </c>
      <c r="C454" s="20"/>
      <c r="D454" s="21" t="s">
        <v>1594</v>
      </c>
      <c r="E454" s="20"/>
      <c r="F454" s="23" t="s">
        <v>254</v>
      </c>
      <c r="H454" s="21" t="s">
        <v>291</v>
      </c>
      <c r="J454" s="21" t="s">
        <v>89</v>
      </c>
      <c r="L454" s="21" t="s">
        <v>737</v>
      </c>
      <c r="N454" s="21" t="s">
        <v>185</v>
      </c>
      <c r="P454" s="21" t="s">
        <v>1608</v>
      </c>
      <c r="R454" s="21" t="s">
        <v>77</v>
      </c>
      <c r="S454" s="20"/>
      <c r="T454" s="58" t="s">
        <v>1596</v>
      </c>
      <c r="V454" s="26" t="s">
        <v>79</v>
      </c>
      <c r="W454" s="60"/>
      <c r="X454" s="26" t="s">
        <v>80</v>
      </c>
      <c r="Y454" s="60"/>
      <c r="Z454" s="26" t="s">
        <v>79</v>
      </c>
      <c r="AA454" s="60"/>
      <c r="AB454" s="23" t="s">
        <v>753</v>
      </c>
      <c r="AC454" s="60"/>
      <c r="AD454" s="23" t="s">
        <v>1609</v>
      </c>
    </row>
    <row r="455" spans="2:30" ht="84.95">
      <c r="B455" s="21" t="s">
        <v>1156</v>
      </c>
      <c r="C455" s="20"/>
      <c r="D455" s="21" t="s">
        <v>1594</v>
      </c>
      <c r="E455" s="20"/>
      <c r="F455" s="23" t="s">
        <v>254</v>
      </c>
      <c r="H455" s="21" t="s">
        <v>291</v>
      </c>
      <c r="J455" s="21" t="s">
        <v>89</v>
      </c>
      <c r="L455" s="21" t="s">
        <v>737</v>
      </c>
      <c r="N455" s="21" t="s">
        <v>185</v>
      </c>
      <c r="P455" s="21" t="s">
        <v>1531</v>
      </c>
      <c r="R455" s="21" t="s">
        <v>77</v>
      </c>
      <c r="S455" s="20"/>
      <c r="T455" s="58" t="s">
        <v>1596</v>
      </c>
      <c r="V455" s="26" t="s">
        <v>79</v>
      </c>
      <c r="W455" s="60"/>
      <c r="X455" s="26" t="s">
        <v>80</v>
      </c>
      <c r="Y455" s="60"/>
      <c r="Z455" s="26" t="s">
        <v>79</v>
      </c>
      <c r="AA455" s="60"/>
      <c r="AB455" s="26" t="s">
        <v>80</v>
      </c>
      <c r="AC455" s="60"/>
      <c r="AD455" s="23" t="s">
        <v>1610</v>
      </c>
    </row>
    <row r="456" spans="2:30" ht="68.099999999999994">
      <c r="B456" s="21" t="s">
        <v>1611</v>
      </c>
      <c r="C456" s="20"/>
      <c r="D456" s="21" t="s">
        <v>1612</v>
      </c>
      <c r="E456" s="20"/>
      <c r="F456" s="23" t="s">
        <v>254</v>
      </c>
      <c r="H456" s="21" t="s">
        <v>262</v>
      </c>
      <c r="J456" s="21" t="s">
        <v>89</v>
      </c>
      <c r="L456" s="21" t="s">
        <v>737</v>
      </c>
      <c r="N456" s="21" t="s">
        <v>103</v>
      </c>
      <c r="P456" s="21" t="s">
        <v>1613</v>
      </c>
      <c r="R456" s="21" t="s">
        <v>77</v>
      </c>
      <c r="S456" s="20"/>
      <c r="T456" s="58" t="s">
        <v>1614</v>
      </c>
      <c r="V456" s="26" t="s">
        <v>79</v>
      </c>
      <c r="W456" s="60"/>
      <c r="X456" s="26" t="s">
        <v>80</v>
      </c>
      <c r="Y456" s="60"/>
      <c r="Z456" s="26" t="s">
        <v>79</v>
      </c>
      <c r="AA456" s="60"/>
      <c r="AB456" s="26" t="s">
        <v>80</v>
      </c>
      <c r="AD456" s="23" t="s">
        <v>1615</v>
      </c>
    </row>
    <row r="457" spans="2:30" ht="42.95" customHeight="1">
      <c r="B457" s="21" t="s">
        <v>1120</v>
      </c>
      <c r="C457" s="20"/>
      <c r="D457" s="21" t="s">
        <v>1612</v>
      </c>
      <c r="E457" s="20"/>
      <c r="F457" s="23" t="s">
        <v>254</v>
      </c>
      <c r="H457" s="21" t="s">
        <v>364</v>
      </c>
      <c r="J457" s="21" t="s">
        <v>89</v>
      </c>
      <c r="L457" s="21" t="s">
        <v>737</v>
      </c>
      <c r="N457" s="21" t="s">
        <v>103</v>
      </c>
      <c r="P457" s="21" t="s">
        <v>1616</v>
      </c>
      <c r="R457" s="21" t="s">
        <v>77</v>
      </c>
      <c r="S457" s="20"/>
      <c r="T457" s="58" t="s">
        <v>1614</v>
      </c>
      <c r="V457" s="26" t="s">
        <v>79</v>
      </c>
      <c r="W457" s="60"/>
      <c r="X457" s="26" t="s">
        <v>80</v>
      </c>
      <c r="Y457" s="60"/>
      <c r="Z457" s="26" t="s">
        <v>79</v>
      </c>
      <c r="AA457" s="60"/>
      <c r="AB457" s="26" t="s">
        <v>80</v>
      </c>
      <c r="AC457" s="60"/>
      <c r="AD457" s="23" t="s">
        <v>1617</v>
      </c>
    </row>
    <row r="458" spans="2:30" ht="42.95" customHeight="1">
      <c r="B458" s="21" t="s">
        <v>1199</v>
      </c>
      <c r="C458" s="20"/>
      <c r="D458" s="21" t="s">
        <v>1612</v>
      </c>
      <c r="E458" s="20"/>
      <c r="F458" s="23" t="s">
        <v>254</v>
      </c>
      <c r="H458" s="21" t="s">
        <v>298</v>
      </c>
      <c r="J458" s="21" t="s">
        <v>89</v>
      </c>
      <c r="L458" s="21" t="s">
        <v>737</v>
      </c>
      <c r="N458" s="21" t="s">
        <v>103</v>
      </c>
      <c r="P458" s="21" t="s">
        <v>1618</v>
      </c>
      <c r="R458" s="21" t="s">
        <v>77</v>
      </c>
      <c r="S458" s="20"/>
      <c r="T458" s="58" t="s">
        <v>1614</v>
      </c>
      <c r="V458" s="26" t="s">
        <v>79</v>
      </c>
      <c r="W458" s="60"/>
      <c r="X458" s="26" t="s">
        <v>80</v>
      </c>
      <c r="Y458" s="60"/>
      <c r="Z458" s="26" t="s">
        <v>79</v>
      </c>
      <c r="AA458" s="60"/>
      <c r="AB458" s="26" t="s">
        <v>80</v>
      </c>
      <c r="AC458" s="60"/>
      <c r="AD458" s="23" t="s">
        <v>1619</v>
      </c>
    </row>
    <row r="459" spans="2:30" ht="53.1" customHeight="1">
      <c r="B459" s="21" t="s">
        <v>1124</v>
      </c>
      <c r="C459" s="20"/>
      <c r="D459" s="21" t="s">
        <v>1612</v>
      </c>
      <c r="E459" s="20"/>
      <c r="F459" s="23" t="s">
        <v>254</v>
      </c>
      <c r="H459" s="21" t="s">
        <v>364</v>
      </c>
      <c r="J459" s="21" t="s">
        <v>89</v>
      </c>
      <c r="L459" s="21" t="s">
        <v>737</v>
      </c>
      <c r="N459" s="21" t="s">
        <v>103</v>
      </c>
      <c r="P459" s="21" t="s">
        <v>1620</v>
      </c>
      <c r="R459" s="21" t="s">
        <v>77</v>
      </c>
      <c r="S459" s="20"/>
      <c r="T459" s="58" t="s">
        <v>1614</v>
      </c>
      <c r="V459" s="26" t="s">
        <v>79</v>
      </c>
      <c r="W459" s="60"/>
      <c r="X459" s="26" t="s">
        <v>80</v>
      </c>
      <c r="Y459" s="60"/>
      <c r="Z459" s="26" t="s">
        <v>79</v>
      </c>
      <c r="AA459" s="60"/>
      <c r="AB459" s="26" t="s">
        <v>80</v>
      </c>
      <c r="AC459" s="60"/>
      <c r="AD459" s="23" t="s">
        <v>1621</v>
      </c>
    </row>
    <row r="460" spans="2:30" ht="186.95">
      <c r="B460" s="21" t="s">
        <v>1145</v>
      </c>
      <c r="C460" s="20"/>
      <c r="D460" s="21" t="s">
        <v>1612</v>
      </c>
      <c r="E460" s="20"/>
      <c r="F460" s="23" t="s">
        <v>254</v>
      </c>
      <c r="H460" s="21" t="s">
        <v>364</v>
      </c>
      <c r="J460" s="21" t="s">
        <v>89</v>
      </c>
      <c r="L460" s="21" t="s">
        <v>737</v>
      </c>
      <c r="N460" s="21" t="s">
        <v>185</v>
      </c>
      <c r="P460" s="21" t="s">
        <v>1622</v>
      </c>
      <c r="R460" s="21" t="s">
        <v>77</v>
      </c>
      <c r="S460" s="20"/>
      <c r="T460" s="58" t="s">
        <v>1614</v>
      </c>
      <c r="V460" s="26" t="s">
        <v>79</v>
      </c>
      <c r="W460" s="60"/>
      <c r="X460" s="26" t="s">
        <v>80</v>
      </c>
      <c r="Y460" s="60"/>
      <c r="Z460" s="26" t="s">
        <v>79</v>
      </c>
      <c r="AA460" s="60"/>
      <c r="AB460" s="26" t="s">
        <v>80</v>
      </c>
      <c r="AC460" s="60"/>
      <c r="AD460" s="23" t="s">
        <v>1623</v>
      </c>
    </row>
    <row r="461" spans="2:30" ht="51">
      <c r="B461" s="21" t="s">
        <v>1148</v>
      </c>
      <c r="C461" s="20"/>
      <c r="D461" s="21" t="s">
        <v>1612</v>
      </c>
      <c r="E461" s="20"/>
      <c r="F461" s="23" t="s">
        <v>254</v>
      </c>
      <c r="H461" s="21" t="s">
        <v>364</v>
      </c>
      <c r="J461" s="21" t="s">
        <v>89</v>
      </c>
      <c r="L461" s="21" t="s">
        <v>737</v>
      </c>
      <c r="N461" s="21" t="s">
        <v>185</v>
      </c>
      <c r="P461" s="21" t="s">
        <v>1624</v>
      </c>
      <c r="R461" s="21" t="s">
        <v>77</v>
      </c>
      <c r="S461" s="20"/>
      <c r="T461" s="58" t="s">
        <v>1614</v>
      </c>
      <c r="V461" s="26" t="s">
        <v>79</v>
      </c>
      <c r="W461" s="60"/>
      <c r="X461" s="26" t="s">
        <v>80</v>
      </c>
      <c r="Y461" s="60"/>
      <c r="Z461" s="26" t="s">
        <v>79</v>
      </c>
      <c r="AA461" s="60"/>
      <c r="AB461" s="26" t="s">
        <v>80</v>
      </c>
      <c r="AC461" s="60"/>
      <c r="AD461" s="23" t="s">
        <v>1625</v>
      </c>
    </row>
    <row r="462" spans="2:30" ht="51">
      <c r="B462" s="21" t="s">
        <v>1130</v>
      </c>
      <c r="C462" s="20"/>
      <c r="D462" s="21" t="s">
        <v>1612</v>
      </c>
      <c r="E462" s="20"/>
      <c r="F462" s="23" t="s">
        <v>254</v>
      </c>
      <c r="H462" s="21" t="s">
        <v>291</v>
      </c>
      <c r="J462" s="21" t="s">
        <v>89</v>
      </c>
      <c r="L462" s="21" t="s">
        <v>737</v>
      </c>
      <c r="N462" s="21" t="s">
        <v>185</v>
      </c>
      <c r="P462" s="21" t="s">
        <v>1626</v>
      </c>
      <c r="R462" s="21" t="s">
        <v>77</v>
      </c>
      <c r="S462" s="20"/>
      <c r="T462" s="58" t="s">
        <v>1614</v>
      </c>
      <c r="V462" s="26" t="s">
        <v>79</v>
      </c>
      <c r="W462" s="60"/>
      <c r="X462" s="26" t="s">
        <v>80</v>
      </c>
      <c r="Y462" s="60"/>
      <c r="Z462" s="26" t="s">
        <v>79</v>
      </c>
      <c r="AA462" s="60"/>
      <c r="AB462" s="26" t="s">
        <v>80</v>
      </c>
      <c r="AC462" s="60"/>
      <c r="AD462" s="23" t="s">
        <v>1627</v>
      </c>
    </row>
    <row r="463" spans="2:30" ht="51">
      <c r="B463" s="21" t="s">
        <v>1153</v>
      </c>
      <c r="C463" s="20"/>
      <c r="D463" s="21" t="s">
        <v>1612</v>
      </c>
      <c r="E463" s="20"/>
      <c r="F463" s="23" t="s">
        <v>254</v>
      </c>
      <c r="H463" s="21" t="s">
        <v>291</v>
      </c>
      <c r="J463" s="21" t="s">
        <v>89</v>
      </c>
      <c r="L463" s="21" t="s">
        <v>737</v>
      </c>
      <c r="N463" s="21" t="s">
        <v>185</v>
      </c>
      <c r="P463" s="21" t="s">
        <v>1628</v>
      </c>
      <c r="R463" s="21" t="s">
        <v>77</v>
      </c>
      <c r="S463" s="20"/>
      <c r="T463" s="58" t="s">
        <v>1614</v>
      </c>
      <c r="V463" s="26" t="s">
        <v>79</v>
      </c>
      <c r="W463" s="60"/>
      <c r="X463" s="26" t="s">
        <v>80</v>
      </c>
      <c r="Y463" s="60"/>
      <c r="Z463" s="26" t="s">
        <v>79</v>
      </c>
      <c r="AA463" s="60"/>
      <c r="AB463" s="23" t="s">
        <v>753</v>
      </c>
      <c r="AC463" s="60"/>
      <c r="AD463" s="23" t="s">
        <v>1629</v>
      </c>
    </row>
    <row r="464" spans="2:30" ht="84.95">
      <c r="B464" s="21" t="s">
        <v>1156</v>
      </c>
      <c r="C464" s="20"/>
      <c r="D464" s="21" t="s">
        <v>1612</v>
      </c>
      <c r="E464" s="20"/>
      <c r="F464" s="23" t="s">
        <v>254</v>
      </c>
      <c r="H464" s="21" t="s">
        <v>291</v>
      </c>
      <c r="J464" s="21" t="s">
        <v>89</v>
      </c>
      <c r="L464" s="21" t="s">
        <v>737</v>
      </c>
      <c r="N464" s="21" t="s">
        <v>185</v>
      </c>
      <c r="P464" s="21" t="s">
        <v>1531</v>
      </c>
      <c r="R464" s="21" t="s">
        <v>77</v>
      </c>
      <c r="S464" s="20"/>
      <c r="T464" s="58" t="s">
        <v>1614</v>
      </c>
      <c r="V464" s="26" t="s">
        <v>79</v>
      </c>
      <c r="W464" s="60"/>
      <c r="X464" s="26" t="s">
        <v>80</v>
      </c>
      <c r="Y464" s="60"/>
      <c r="Z464" s="26" t="s">
        <v>79</v>
      </c>
      <c r="AA464" s="60"/>
      <c r="AB464" s="26" t="s">
        <v>80</v>
      </c>
      <c r="AC464" s="60"/>
      <c r="AD464" s="23" t="s">
        <v>1630</v>
      </c>
    </row>
    <row r="465" spans="2:30" ht="68.099999999999994">
      <c r="B465" s="21" t="s">
        <v>1631</v>
      </c>
      <c r="C465" s="20"/>
      <c r="D465" s="21" t="s">
        <v>346</v>
      </c>
      <c r="E465" s="20"/>
      <c r="F465" s="23" t="s">
        <v>254</v>
      </c>
      <c r="H465" s="21" t="s">
        <v>262</v>
      </c>
      <c r="J465" s="21" t="s">
        <v>89</v>
      </c>
      <c r="L465" s="21" t="s">
        <v>737</v>
      </c>
      <c r="N465" s="21" t="s">
        <v>103</v>
      </c>
      <c r="P465" s="21" t="s">
        <v>1632</v>
      </c>
      <c r="R465" s="21" t="s">
        <v>77</v>
      </c>
      <c r="S465" s="20"/>
      <c r="T465" s="58" t="s">
        <v>1633</v>
      </c>
      <c r="V465" s="26" t="s">
        <v>79</v>
      </c>
      <c r="W465" s="60"/>
      <c r="X465" s="26" t="s">
        <v>80</v>
      </c>
      <c r="Y465" s="60"/>
      <c r="Z465" s="26" t="s">
        <v>79</v>
      </c>
      <c r="AA465" s="60"/>
      <c r="AB465" s="26" t="s">
        <v>80</v>
      </c>
      <c r="AD465" s="23" t="s">
        <v>1634</v>
      </c>
    </row>
    <row r="466" spans="2:30" ht="33.950000000000003">
      <c r="B466" s="21" t="s">
        <v>1120</v>
      </c>
      <c r="C466" s="20"/>
      <c r="D466" s="21" t="s">
        <v>346</v>
      </c>
      <c r="E466" s="20"/>
      <c r="F466" s="23" t="s">
        <v>254</v>
      </c>
      <c r="H466" s="21" t="s">
        <v>364</v>
      </c>
      <c r="J466" s="21" t="s">
        <v>89</v>
      </c>
      <c r="L466" s="21" t="s">
        <v>737</v>
      </c>
      <c r="N466" s="21" t="s">
        <v>103</v>
      </c>
      <c r="P466" s="21" t="s">
        <v>1635</v>
      </c>
      <c r="R466" s="21" t="s">
        <v>77</v>
      </c>
      <c r="S466" s="20"/>
      <c r="T466" s="58" t="s">
        <v>1636</v>
      </c>
      <c r="V466" s="26" t="s">
        <v>79</v>
      </c>
      <c r="W466" s="60"/>
      <c r="X466" s="26" t="s">
        <v>80</v>
      </c>
      <c r="Y466" s="60"/>
      <c r="Z466" s="26" t="s">
        <v>79</v>
      </c>
      <c r="AA466" s="60"/>
      <c r="AB466" s="26" t="s">
        <v>80</v>
      </c>
      <c r="AC466" s="60"/>
      <c r="AD466" s="23" t="s">
        <v>1637</v>
      </c>
    </row>
    <row r="467" spans="2:30" ht="33.950000000000003">
      <c r="B467" s="21" t="s">
        <v>1124</v>
      </c>
      <c r="C467" s="20"/>
      <c r="D467" s="21" t="s">
        <v>346</v>
      </c>
      <c r="E467" s="20"/>
      <c r="F467" s="23" t="s">
        <v>254</v>
      </c>
      <c r="H467" s="21" t="s">
        <v>364</v>
      </c>
      <c r="J467" s="21" t="s">
        <v>89</v>
      </c>
      <c r="L467" s="21" t="s">
        <v>737</v>
      </c>
      <c r="N467" s="21" t="s">
        <v>103</v>
      </c>
      <c r="P467" s="21" t="s">
        <v>1638</v>
      </c>
      <c r="R467" s="21" t="s">
        <v>77</v>
      </c>
      <c r="S467" s="20"/>
      <c r="T467" s="58" t="s">
        <v>1639</v>
      </c>
      <c r="V467" s="26" t="s">
        <v>79</v>
      </c>
      <c r="W467" s="60"/>
      <c r="X467" s="26" t="s">
        <v>80</v>
      </c>
      <c r="Y467" s="60"/>
      <c r="Z467" s="26" t="s">
        <v>79</v>
      </c>
      <c r="AA467" s="60"/>
      <c r="AB467" s="26" t="s">
        <v>80</v>
      </c>
      <c r="AC467" s="60"/>
      <c r="AD467" s="23" t="s">
        <v>1640</v>
      </c>
    </row>
    <row r="468" spans="2:30" ht="186.95">
      <c r="B468" s="21" t="s">
        <v>1145</v>
      </c>
      <c r="C468" s="20"/>
      <c r="D468" s="21" t="s">
        <v>346</v>
      </c>
      <c r="E468" s="20"/>
      <c r="F468" s="23" t="s">
        <v>254</v>
      </c>
      <c r="H468" s="21" t="s">
        <v>364</v>
      </c>
      <c r="J468" s="21" t="s">
        <v>89</v>
      </c>
      <c r="L468" s="21" t="s">
        <v>737</v>
      </c>
      <c r="N468" s="21" t="s">
        <v>185</v>
      </c>
      <c r="P468" s="21" t="s">
        <v>1641</v>
      </c>
      <c r="R468" s="21" t="s">
        <v>77</v>
      </c>
      <c r="S468" s="20"/>
      <c r="T468" s="58" t="s">
        <v>1642</v>
      </c>
      <c r="V468" s="26" t="s">
        <v>79</v>
      </c>
      <c r="W468" s="60"/>
      <c r="X468" s="26" t="s">
        <v>80</v>
      </c>
      <c r="Y468" s="60"/>
      <c r="Z468" s="26" t="s">
        <v>79</v>
      </c>
      <c r="AA468" s="60"/>
      <c r="AB468" s="26" t="s">
        <v>80</v>
      </c>
      <c r="AC468" s="60"/>
      <c r="AD468" s="23" t="s">
        <v>1643</v>
      </c>
    </row>
    <row r="469" spans="2:30" ht="51">
      <c r="B469" s="21" t="s">
        <v>1148</v>
      </c>
      <c r="C469" s="20"/>
      <c r="D469" s="21" t="s">
        <v>346</v>
      </c>
      <c r="E469" s="20"/>
      <c r="F469" s="23" t="s">
        <v>254</v>
      </c>
      <c r="H469" s="21" t="s">
        <v>364</v>
      </c>
      <c r="J469" s="21" t="s">
        <v>89</v>
      </c>
      <c r="L469" s="21" t="s">
        <v>737</v>
      </c>
      <c r="N469" s="21" t="s">
        <v>185</v>
      </c>
      <c r="P469" s="21" t="s">
        <v>1644</v>
      </c>
      <c r="R469" s="21" t="s">
        <v>77</v>
      </c>
      <c r="S469" s="20"/>
      <c r="T469" s="58" t="s">
        <v>1645</v>
      </c>
      <c r="V469" s="26" t="s">
        <v>79</v>
      </c>
      <c r="W469" s="60"/>
      <c r="X469" s="26" t="s">
        <v>80</v>
      </c>
      <c r="Y469" s="60"/>
      <c r="Z469" s="26" t="s">
        <v>79</v>
      </c>
      <c r="AA469" s="60"/>
      <c r="AB469" s="26" t="s">
        <v>80</v>
      </c>
      <c r="AC469" s="60"/>
      <c r="AD469" s="23" t="s">
        <v>1646</v>
      </c>
    </row>
    <row r="470" spans="2:30" ht="51">
      <c r="B470" s="21" t="s">
        <v>1130</v>
      </c>
      <c r="C470" s="20"/>
      <c r="D470" s="21" t="s">
        <v>346</v>
      </c>
      <c r="E470" s="20"/>
      <c r="F470" s="23" t="s">
        <v>254</v>
      </c>
      <c r="H470" s="21" t="s">
        <v>291</v>
      </c>
      <c r="J470" s="21" t="s">
        <v>89</v>
      </c>
      <c r="L470" s="21" t="s">
        <v>737</v>
      </c>
      <c r="N470" s="21" t="s">
        <v>185</v>
      </c>
      <c r="P470" s="21" t="s">
        <v>1647</v>
      </c>
      <c r="R470" s="21" t="s">
        <v>77</v>
      </c>
      <c r="S470" s="20"/>
      <c r="T470" s="58" t="s">
        <v>1648</v>
      </c>
      <c r="V470" s="26" t="s">
        <v>79</v>
      </c>
      <c r="W470" s="60"/>
      <c r="X470" s="26" t="s">
        <v>80</v>
      </c>
      <c r="Y470" s="60"/>
      <c r="Z470" s="26" t="s">
        <v>79</v>
      </c>
      <c r="AA470" s="60"/>
      <c r="AB470" s="26" t="s">
        <v>80</v>
      </c>
      <c r="AC470" s="60"/>
      <c r="AD470" s="23" t="s">
        <v>1649</v>
      </c>
    </row>
    <row r="471" spans="2:30" ht="51">
      <c r="B471" s="21" t="s">
        <v>1153</v>
      </c>
      <c r="C471" s="20"/>
      <c r="D471" s="21" t="s">
        <v>346</v>
      </c>
      <c r="E471" s="20"/>
      <c r="F471" s="23" t="s">
        <v>254</v>
      </c>
      <c r="H471" s="21" t="s">
        <v>291</v>
      </c>
      <c r="J471" s="21" t="s">
        <v>89</v>
      </c>
      <c r="L471" s="21" t="s">
        <v>737</v>
      </c>
      <c r="N471" s="21" t="s">
        <v>185</v>
      </c>
      <c r="P471" s="21" t="s">
        <v>1650</v>
      </c>
      <c r="R471" s="21" t="s">
        <v>77</v>
      </c>
      <c r="S471" s="20"/>
      <c r="T471" s="58" t="s">
        <v>1651</v>
      </c>
      <c r="V471" s="26" t="s">
        <v>79</v>
      </c>
      <c r="W471" s="60"/>
      <c r="X471" s="26" t="s">
        <v>80</v>
      </c>
      <c r="Y471" s="60"/>
      <c r="Z471" s="26" t="s">
        <v>79</v>
      </c>
      <c r="AA471" s="60"/>
      <c r="AB471" s="23" t="s">
        <v>753</v>
      </c>
      <c r="AC471" s="60"/>
      <c r="AD471" s="23" t="s">
        <v>1652</v>
      </c>
    </row>
    <row r="472" spans="2:30" ht="84.95">
      <c r="B472" s="21" t="s">
        <v>1156</v>
      </c>
      <c r="C472" s="20"/>
      <c r="D472" s="21" t="s">
        <v>346</v>
      </c>
      <c r="E472" s="20"/>
      <c r="F472" s="23" t="s">
        <v>254</v>
      </c>
      <c r="H472" s="21" t="s">
        <v>291</v>
      </c>
      <c r="J472" s="21" t="s">
        <v>89</v>
      </c>
      <c r="L472" s="21" t="s">
        <v>737</v>
      </c>
      <c r="N472" s="21" t="s">
        <v>185</v>
      </c>
      <c r="P472" s="21" t="s">
        <v>1531</v>
      </c>
      <c r="R472" s="21" t="s">
        <v>77</v>
      </c>
      <c r="S472" s="20"/>
      <c r="T472" s="58" t="s">
        <v>1653</v>
      </c>
      <c r="V472" s="26" t="s">
        <v>79</v>
      </c>
      <c r="W472" s="60"/>
      <c r="X472" s="26" t="s">
        <v>80</v>
      </c>
      <c r="Y472" s="60"/>
      <c r="Z472" s="26" t="s">
        <v>79</v>
      </c>
      <c r="AA472" s="60"/>
      <c r="AB472" s="26" t="s">
        <v>80</v>
      </c>
      <c r="AC472" s="60"/>
      <c r="AD472" s="23" t="s">
        <v>1654</v>
      </c>
    </row>
    <row r="473" spans="2:30" ht="68.099999999999994">
      <c r="B473" s="21" t="s">
        <v>1655</v>
      </c>
      <c r="C473" s="20"/>
      <c r="D473" s="21" t="s">
        <v>1656</v>
      </c>
      <c r="E473" s="20"/>
      <c r="F473" s="23" t="s">
        <v>254</v>
      </c>
      <c r="H473" s="21" t="s">
        <v>262</v>
      </c>
      <c r="J473" s="21" t="s">
        <v>89</v>
      </c>
      <c r="L473" s="21" t="s">
        <v>737</v>
      </c>
      <c r="N473" s="21" t="s">
        <v>103</v>
      </c>
      <c r="P473" s="21" t="s">
        <v>1657</v>
      </c>
      <c r="R473" s="21" t="s">
        <v>77</v>
      </c>
      <c r="S473" s="20"/>
      <c r="T473" s="58" t="s">
        <v>1658</v>
      </c>
      <c r="V473" s="26" t="s">
        <v>79</v>
      </c>
      <c r="W473" s="60"/>
      <c r="X473" s="26" t="s">
        <v>80</v>
      </c>
      <c r="Y473" s="60"/>
      <c r="Z473" s="26" t="s">
        <v>79</v>
      </c>
      <c r="AA473" s="60"/>
      <c r="AB473" s="26" t="s">
        <v>80</v>
      </c>
      <c r="AD473" s="23" t="s">
        <v>1659</v>
      </c>
    </row>
    <row r="474" spans="2:30" ht="33.950000000000003">
      <c r="B474" s="21" t="s">
        <v>1120</v>
      </c>
      <c r="C474" s="20"/>
      <c r="D474" s="21" t="s">
        <v>1656</v>
      </c>
      <c r="E474" s="20"/>
      <c r="F474" s="23" t="s">
        <v>254</v>
      </c>
      <c r="H474" s="21" t="s">
        <v>364</v>
      </c>
      <c r="J474" s="21" t="s">
        <v>89</v>
      </c>
      <c r="L474" s="21" t="s">
        <v>737</v>
      </c>
      <c r="N474" s="21" t="s">
        <v>103</v>
      </c>
      <c r="P474" s="21" t="s">
        <v>1660</v>
      </c>
      <c r="R474" s="21" t="s">
        <v>77</v>
      </c>
      <c r="S474" s="20"/>
      <c r="T474" s="58" t="s">
        <v>1661</v>
      </c>
      <c r="V474" s="26" t="s">
        <v>79</v>
      </c>
      <c r="W474" s="60"/>
      <c r="X474" s="26" t="s">
        <v>80</v>
      </c>
      <c r="Y474" s="60"/>
      <c r="Z474" s="26" t="s">
        <v>79</v>
      </c>
      <c r="AA474" s="60"/>
      <c r="AB474" s="26" t="s">
        <v>80</v>
      </c>
      <c r="AC474" s="60"/>
      <c r="AD474" s="23" t="s">
        <v>1662</v>
      </c>
    </row>
    <row r="475" spans="2:30" ht="68.099999999999994">
      <c r="B475" s="21" t="s">
        <v>1124</v>
      </c>
      <c r="C475" s="20"/>
      <c r="D475" s="21" t="s">
        <v>1656</v>
      </c>
      <c r="E475" s="20"/>
      <c r="F475" s="23" t="s">
        <v>254</v>
      </c>
      <c r="H475" s="21" t="s">
        <v>364</v>
      </c>
      <c r="J475" s="21" t="s">
        <v>89</v>
      </c>
      <c r="L475" s="21" t="s">
        <v>737</v>
      </c>
      <c r="N475" s="21" t="s">
        <v>103</v>
      </c>
      <c r="P475" s="21" t="s">
        <v>1663</v>
      </c>
      <c r="R475" s="21" t="s">
        <v>77</v>
      </c>
      <c r="S475" s="20"/>
      <c r="T475" s="58" t="s">
        <v>1664</v>
      </c>
      <c r="V475" s="26" t="s">
        <v>79</v>
      </c>
      <c r="W475" s="60"/>
      <c r="X475" s="26" t="s">
        <v>80</v>
      </c>
      <c r="Y475" s="60"/>
      <c r="Z475" s="26" t="s">
        <v>79</v>
      </c>
      <c r="AA475" s="60"/>
      <c r="AB475" s="26" t="s">
        <v>80</v>
      </c>
      <c r="AC475" s="60"/>
      <c r="AD475" s="23" t="s">
        <v>1665</v>
      </c>
    </row>
    <row r="476" spans="2:30" ht="186.95">
      <c r="B476" s="21" t="s">
        <v>1145</v>
      </c>
      <c r="C476" s="20"/>
      <c r="D476" s="21" t="s">
        <v>1656</v>
      </c>
      <c r="E476" s="20"/>
      <c r="F476" s="23" t="s">
        <v>254</v>
      </c>
      <c r="H476" s="21" t="s">
        <v>364</v>
      </c>
      <c r="J476" s="21" t="s">
        <v>89</v>
      </c>
      <c r="L476" s="21" t="s">
        <v>737</v>
      </c>
      <c r="N476" s="21" t="s">
        <v>185</v>
      </c>
      <c r="P476" s="21" t="s">
        <v>1666</v>
      </c>
      <c r="R476" s="21" t="s">
        <v>77</v>
      </c>
      <c r="S476" s="20"/>
      <c r="T476" s="58" t="s">
        <v>1667</v>
      </c>
      <c r="V476" s="26" t="s">
        <v>79</v>
      </c>
      <c r="W476" s="60"/>
      <c r="X476" s="26" t="s">
        <v>80</v>
      </c>
      <c r="Y476" s="60"/>
      <c r="Z476" s="26" t="s">
        <v>79</v>
      </c>
      <c r="AA476" s="60"/>
      <c r="AB476" s="26" t="s">
        <v>80</v>
      </c>
      <c r="AC476" s="60"/>
      <c r="AD476" s="23" t="s">
        <v>1668</v>
      </c>
    </row>
    <row r="477" spans="2:30" ht="51">
      <c r="B477" s="21" t="s">
        <v>1148</v>
      </c>
      <c r="C477" s="20"/>
      <c r="D477" s="21" t="s">
        <v>1656</v>
      </c>
      <c r="E477" s="20"/>
      <c r="F477" s="23" t="s">
        <v>254</v>
      </c>
      <c r="H477" s="21" t="s">
        <v>364</v>
      </c>
      <c r="J477" s="21" t="s">
        <v>89</v>
      </c>
      <c r="L477" s="21" t="s">
        <v>737</v>
      </c>
      <c r="N477" s="21" t="s">
        <v>185</v>
      </c>
      <c r="P477" s="21" t="s">
        <v>1669</v>
      </c>
      <c r="R477" s="21" t="s">
        <v>77</v>
      </c>
      <c r="S477" s="20"/>
      <c r="T477" s="58" t="s">
        <v>1670</v>
      </c>
      <c r="V477" s="26" t="s">
        <v>79</v>
      </c>
      <c r="W477" s="60"/>
      <c r="X477" s="26" t="s">
        <v>80</v>
      </c>
      <c r="Y477" s="60"/>
      <c r="Z477" s="26" t="s">
        <v>79</v>
      </c>
      <c r="AA477" s="60"/>
      <c r="AB477" s="26" t="s">
        <v>80</v>
      </c>
      <c r="AC477" s="60"/>
      <c r="AD477" s="23" t="s">
        <v>1671</v>
      </c>
    </row>
    <row r="478" spans="2:30" ht="51">
      <c r="B478" s="21" t="s">
        <v>1130</v>
      </c>
      <c r="C478" s="20"/>
      <c r="D478" s="21" t="s">
        <v>1656</v>
      </c>
      <c r="E478" s="20"/>
      <c r="F478" s="23" t="s">
        <v>254</v>
      </c>
      <c r="H478" s="21" t="s">
        <v>291</v>
      </c>
      <c r="J478" s="21" t="s">
        <v>89</v>
      </c>
      <c r="L478" s="21" t="s">
        <v>737</v>
      </c>
      <c r="N478" s="21" t="s">
        <v>185</v>
      </c>
      <c r="P478" s="21" t="s">
        <v>1672</v>
      </c>
      <c r="R478" s="21" t="s">
        <v>77</v>
      </c>
      <c r="S478" s="20"/>
      <c r="T478" s="58" t="s">
        <v>1673</v>
      </c>
      <c r="V478" s="26" t="s">
        <v>79</v>
      </c>
      <c r="W478" s="60"/>
      <c r="X478" s="26" t="s">
        <v>80</v>
      </c>
      <c r="Y478" s="60"/>
      <c r="Z478" s="26" t="s">
        <v>79</v>
      </c>
      <c r="AA478" s="60"/>
      <c r="AB478" s="26" t="s">
        <v>80</v>
      </c>
      <c r="AC478" s="60"/>
      <c r="AD478" s="23" t="s">
        <v>1674</v>
      </c>
    </row>
    <row r="479" spans="2:30" ht="51">
      <c r="B479" s="21" t="s">
        <v>1153</v>
      </c>
      <c r="C479" s="20"/>
      <c r="D479" s="21" t="s">
        <v>1656</v>
      </c>
      <c r="E479" s="20"/>
      <c r="F479" s="23" t="s">
        <v>254</v>
      </c>
      <c r="H479" s="21" t="s">
        <v>291</v>
      </c>
      <c r="J479" s="21" t="s">
        <v>89</v>
      </c>
      <c r="L479" s="21" t="s">
        <v>737</v>
      </c>
      <c r="N479" s="21" t="s">
        <v>185</v>
      </c>
      <c r="P479" s="21" t="s">
        <v>1675</v>
      </c>
      <c r="R479" s="21" t="s">
        <v>77</v>
      </c>
      <c r="S479" s="20"/>
      <c r="T479" s="58" t="s">
        <v>1676</v>
      </c>
      <c r="V479" s="26" t="s">
        <v>79</v>
      </c>
      <c r="W479" s="60"/>
      <c r="X479" s="26" t="s">
        <v>80</v>
      </c>
      <c r="Y479" s="60"/>
      <c r="Z479" s="26" t="s">
        <v>79</v>
      </c>
      <c r="AA479" s="60"/>
      <c r="AB479" s="23" t="s">
        <v>753</v>
      </c>
      <c r="AC479" s="60"/>
      <c r="AD479" s="23" t="s">
        <v>1677</v>
      </c>
    </row>
    <row r="480" spans="2:30" ht="84.95">
      <c r="B480" s="21" t="s">
        <v>1156</v>
      </c>
      <c r="C480" s="20"/>
      <c r="D480" s="21" t="s">
        <v>1656</v>
      </c>
      <c r="E480" s="20"/>
      <c r="F480" s="23" t="s">
        <v>254</v>
      </c>
      <c r="H480" s="21" t="s">
        <v>291</v>
      </c>
      <c r="J480" s="21" t="s">
        <v>89</v>
      </c>
      <c r="L480" s="21" t="s">
        <v>737</v>
      </c>
      <c r="N480" s="21" t="s">
        <v>185</v>
      </c>
      <c r="P480" s="21" t="s">
        <v>1531</v>
      </c>
      <c r="R480" s="21" t="s">
        <v>77</v>
      </c>
      <c r="S480" s="20"/>
      <c r="T480" s="58" t="s">
        <v>1678</v>
      </c>
      <c r="V480" s="26" t="s">
        <v>79</v>
      </c>
      <c r="W480" s="60"/>
      <c r="X480" s="26" t="s">
        <v>80</v>
      </c>
      <c r="Y480" s="60"/>
      <c r="Z480" s="26" t="s">
        <v>79</v>
      </c>
      <c r="AA480" s="60"/>
      <c r="AB480" s="26" t="s">
        <v>80</v>
      </c>
      <c r="AC480" s="60"/>
      <c r="AD480" s="23" t="s">
        <v>1679</v>
      </c>
    </row>
    <row r="481" spans="2:30" ht="51">
      <c r="B481" s="21" t="s">
        <v>1680</v>
      </c>
      <c r="C481" s="20"/>
      <c r="D481" s="21" t="s">
        <v>1681</v>
      </c>
      <c r="E481" s="20"/>
      <c r="F481" s="23" t="s">
        <v>254</v>
      </c>
      <c r="H481" s="21" t="s">
        <v>262</v>
      </c>
      <c r="J481" s="21" t="s">
        <v>89</v>
      </c>
      <c r="L481" s="21" t="s">
        <v>737</v>
      </c>
      <c r="N481" s="21" t="s">
        <v>103</v>
      </c>
      <c r="P481" s="21" t="s">
        <v>1682</v>
      </c>
      <c r="R481" s="21" t="s">
        <v>77</v>
      </c>
      <c r="S481" s="20"/>
      <c r="T481" s="58" t="s">
        <v>1683</v>
      </c>
      <c r="V481" s="26" t="s">
        <v>79</v>
      </c>
      <c r="W481" s="60"/>
      <c r="X481" s="26" t="s">
        <v>80</v>
      </c>
      <c r="Y481" s="60"/>
      <c r="Z481" s="26" t="s">
        <v>79</v>
      </c>
      <c r="AA481" s="60"/>
      <c r="AB481" s="26" t="s">
        <v>80</v>
      </c>
      <c r="AD481" s="23" t="s">
        <v>1684</v>
      </c>
    </row>
    <row r="482" spans="2:30" ht="51">
      <c r="B482" s="21" t="s">
        <v>1120</v>
      </c>
      <c r="C482" s="20"/>
      <c r="D482" s="21" t="s">
        <v>1681</v>
      </c>
      <c r="E482" s="20"/>
      <c r="F482" s="23" t="s">
        <v>254</v>
      </c>
      <c r="H482" s="21" t="s">
        <v>364</v>
      </c>
      <c r="J482" s="21" t="s">
        <v>89</v>
      </c>
      <c r="L482" s="21" t="s">
        <v>737</v>
      </c>
      <c r="N482" s="21" t="s">
        <v>103</v>
      </c>
      <c r="P482" s="21" t="s">
        <v>1685</v>
      </c>
      <c r="R482" s="21" t="s">
        <v>77</v>
      </c>
      <c r="S482" s="20"/>
      <c r="T482" s="58" t="s">
        <v>1683</v>
      </c>
      <c r="V482" s="26" t="s">
        <v>79</v>
      </c>
      <c r="W482" s="60"/>
      <c r="X482" s="26" t="s">
        <v>80</v>
      </c>
      <c r="Y482" s="60"/>
      <c r="Z482" s="26" t="s">
        <v>79</v>
      </c>
      <c r="AA482" s="60"/>
      <c r="AB482" s="26" t="s">
        <v>80</v>
      </c>
      <c r="AC482" s="60"/>
      <c r="AD482" s="23" t="s">
        <v>1686</v>
      </c>
    </row>
    <row r="483" spans="2:30" ht="51">
      <c r="B483" s="21" t="s">
        <v>1199</v>
      </c>
      <c r="C483" s="20"/>
      <c r="D483" s="21" t="s">
        <v>1681</v>
      </c>
      <c r="E483" s="20"/>
      <c r="F483" s="23" t="s">
        <v>254</v>
      </c>
      <c r="H483" s="21" t="s">
        <v>298</v>
      </c>
      <c r="J483" s="21" t="s">
        <v>89</v>
      </c>
      <c r="L483" s="21" t="s">
        <v>737</v>
      </c>
      <c r="N483" s="21" t="s">
        <v>103</v>
      </c>
      <c r="P483" s="21" t="s">
        <v>1687</v>
      </c>
      <c r="R483" s="21" t="s">
        <v>77</v>
      </c>
      <c r="S483" s="20"/>
      <c r="T483" s="58" t="s">
        <v>1683</v>
      </c>
      <c r="V483" s="26" t="s">
        <v>79</v>
      </c>
      <c r="W483" s="60"/>
      <c r="X483" s="26" t="s">
        <v>80</v>
      </c>
      <c r="Y483" s="60"/>
      <c r="Z483" s="26" t="s">
        <v>79</v>
      </c>
      <c r="AA483" s="60"/>
      <c r="AB483" s="26" t="s">
        <v>80</v>
      </c>
      <c r="AC483" s="60"/>
      <c r="AD483" s="23" t="s">
        <v>1688</v>
      </c>
    </row>
    <row r="484" spans="2:30" ht="186.95">
      <c r="B484" s="21" t="s">
        <v>1145</v>
      </c>
      <c r="C484" s="20"/>
      <c r="D484" s="21" t="s">
        <v>1681</v>
      </c>
      <c r="E484" s="20"/>
      <c r="F484" s="23" t="s">
        <v>254</v>
      </c>
      <c r="H484" s="21" t="s">
        <v>364</v>
      </c>
      <c r="J484" s="21" t="s">
        <v>89</v>
      </c>
      <c r="L484" s="21" t="s">
        <v>737</v>
      </c>
      <c r="N484" s="21" t="s">
        <v>103</v>
      </c>
      <c r="P484" s="21" t="s">
        <v>1689</v>
      </c>
      <c r="R484" s="21" t="s">
        <v>77</v>
      </c>
      <c r="S484" s="20"/>
      <c r="T484" s="58" t="s">
        <v>1683</v>
      </c>
      <c r="V484" s="26" t="s">
        <v>79</v>
      </c>
      <c r="W484" s="60"/>
      <c r="X484" s="26" t="s">
        <v>80</v>
      </c>
      <c r="Y484" s="60"/>
      <c r="Z484" s="26" t="s">
        <v>79</v>
      </c>
      <c r="AA484" s="60"/>
      <c r="AB484" s="26" t="s">
        <v>80</v>
      </c>
      <c r="AC484" s="60"/>
      <c r="AD484" s="23" t="s">
        <v>1690</v>
      </c>
    </row>
    <row r="485" spans="2:30" ht="51">
      <c r="B485" s="21" t="s">
        <v>1130</v>
      </c>
      <c r="C485" s="20"/>
      <c r="D485" s="21" t="s">
        <v>1681</v>
      </c>
      <c r="E485" s="20"/>
      <c r="F485" s="23" t="s">
        <v>254</v>
      </c>
      <c r="H485" s="21" t="s">
        <v>291</v>
      </c>
      <c r="J485" s="21" t="s">
        <v>89</v>
      </c>
      <c r="L485" s="21" t="s">
        <v>737</v>
      </c>
      <c r="N485" s="21" t="s">
        <v>185</v>
      </c>
      <c r="P485" s="21" t="s">
        <v>1691</v>
      </c>
      <c r="R485" s="21" t="s">
        <v>77</v>
      </c>
      <c r="S485" s="20"/>
      <c r="T485" s="58" t="s">
        <v>1683</v>
      </c>
      <c r="V485" s="26" t="s">
        <v>79</v>
      </c>
      <c r="W485" s="60"/>
      <c r="X485" s="26" t="s">
        <v>80</v>
      </c>
      <c r="Y485" s="60"/>
      <c r="Z485" s="26" t="s">
        <v>79</v>
      </c>
      <c r="AA485" s="60"/>
      <c r="AB485" s="26" t="s">
        <v>80</v>
      </c>
      <c r="AC485" s="60"/>
      <c r="AD485" s="23" t="s">
        <v>1692</v>
      </c>
    </row>
    <row r="486" spans="2:30" ht="51">
      <c r="B486" s="21" t="s">
        <v>1153</v>
      </c>
      <c r="C486" s="20"/>
      <c r="D486" s="21" t="s">
        <v>1681</v>
      </c>
      <c r="E486" s="20"/>
      <c r="F486" s="23" t="s">
        <v>254</v>
      </c>
      <c r="H486" s="21" t="s">
        <v>291</v>
      </c>
      <c r="J486" s="21" t="s">
        <v>89</v>
      </c>
      <c r="L486" s="21" t="s">
        <v>737</v>
      </c>
      <c r="N486" s="21" t="s">
        <v>185</v>
      </c>
      <c r="P486" s="21" t="s">
        <v>1693</v>
      </c>
      <c r="R486" s="21" t="s">
        <v>77</v>
      </c>
      <c r="S486" s="20"/>
      <c r="T486" s="58" t="s">
        <v>1683</v>
      </c>
      <c r="V486" s="26" t="s">
        <v>79</v>
      </c>
      <c r="W486" s="60"/>
      <c r="X486" s="26" t="s">
        <v>80</v>
      </c>
      <c r="Y486" s="60"/>
      <c r="Z486" s="26" t="s">
        <v>79</v>
      </c>
      <c r="AA486" s="60"/>
      <c r="AB486" s="23" t="s">
        <v>753</v>
      </c>
      <c r="AC486" s="60"/>
      <c r="AD486" s="23" t="s">
        <v>1694</v>
      </c>
    </row>
    <row r="487" spans="2:30" ht="84.95">
      <c r="B487" s="21" t="s">
        <v>1156</v>
      </c>
      <c r="C487" s="20"/>
      <c r="D487" s="21" t="s">
        <v>1681</v>
      </c>
      <c r="E487" s="20"/>
      <c r="F487" s="23" t="s">
        <v>254</v>
      </c>
      <c r="H487" s="21" t="s">
        <v>291</v>
      </c>
      <c r="J487" s="21" t="s">
        <v>89</v>
      </c>
      <c r="L487" s="21" t="s">
        <v>737</v>
      </c>
      <c r="N487" s="21" t="s">
        <v>185</v>
      </c>
      <c r="P487" s="21" t="s">
        <v>1531</v>
      </c>
      <c r="R487" s="21" t="s">
        <v>77</v>
      </c>
      <c r="S487" s="20"/>
      <c r="T487" s="58" t="s">
        <v>1683</v>
      </c>
      <c r="V487" s="26" t="s">
        <v>79</v>
      </c>
      <c r="W487" s="60"/>
      <c r="X487" s="26" t="s">
        <v>80</v>
      </c>
      <c r="Y487" s="60"/>
      <c r="Z487" s="26" t="s">
        <v>79</v>
      </c>
      <c r="AA487" s="60"/>
      <c r="AB487" s="26" t="s">
        <v>80</v>
      </c>
      <c r="AC487" s="60"/>
      <c r="AD487" s="23" t="s">
        <v>1695</v>
      </c>
    </row>
    <row r="488" spans="2:30" ht="68.099999999999994">
      <c r="B488" s="21" t="s">
        <v>1696</v>
      </c>
      <c r="C488" s="20"/>
      <c r="D488" s="21" t="s">
        <v>1697</v>
      </c>
      <c r="E488" s="20"/>
      <c r="F488" s="23" t="s">
        <v>254</v>
      </c>
      <c r="H488" s="21" t="s">
        <v>262</v>
      </c>
      <c r="J488" s="21" t="s">
        <v>89</v>
      </c>
      <c r="L488" s="21" t="s">
        <v>737</v>
      </c>
      <c r="N488" s="21" t="s">
        <v>103</v>
      </c>
      <c r="P488" s="21" t="s">
        <v>1698</v>
      </c>
      <c r="R488" s="21" t="s">
        <v>77</v>
      </c>
      <c r="S488" s="20"/>
      <c r="T488" s="58" t="s">
        <v>1699</v>
      </c>
      <c r="V488" s="26" t="s">
        <v>79</v>
      </c>
      <c r="W488" s="60"/>
      <c r="X488" s="26" t="s">
        <v>80</v>
      </c>
      <c r="Y488" s="60"/>
      <c r="Z488" s="26" t="s">
        <v>79</v>
      </c>
      <c r="AA488" s="60"/>
      <c r="AB488" s="26" t="s">
        <v>80</v>
      </c>
      <c r="AD488" s="23" t="s">
        <v>1700</v>
      </c>
    </row>
    <row r="489" spans="2:30" ht="51">
      <c r="B489" s="21" t="s">
        <v>1120</v>
      </c>
      <c r="C489" s="20"/>
      <c r="D489" s="21" t="s">
        <v>1697</v>
      </c>
      <c r="E489" s="20"/>
      <c r="F489" s="23" t="s">
        <v>254</v>
      </c>
      <c r="H489" s="21" t="s">
        <v>364</v>
      </c>
      <c r="J489" s="21" t="s">
        <v>89</v>
      </c>
      <c r="L489" s="21" t="s">
        <v>737</v>
      </c>
      <c r="N489" s="21" t="s">
        <v>103</v>
      </c>
      <c r="P489" s="21" t="s">
        <v>1701</v>
      </c>
      <c r="R489" s="21" t="s">
        <v>77</v>
      </c>
      <c r="S489" s="20"/>
      <c r="T489" s="58" t="s">
        <v>1699</v>
      </c>
      <c r="V489" s="26" t="s">
        <v>79</v>
      </c>
      <c r="W489" s="60"/>
      <c r="X489" s="26" t="s">
        <v>80</v>
      </c>
      <c r="Y489" s="60"/>
      <c r="Z489" s="26" t="s">
        <v>79</v>
      </c>
      <c r="AA489" s="60"/>
      <c r="AB489" s="26" t="s">
        <v>80</v>
      </c>
      <c r="AC489" s="60"/>
      <c r="AD489" s="23" t="s">
        <v>1702</v>
      </c>
    </row>
    <row r="490" spans="2:30" ht="51">
      <c r="B490" s="21" t="s">
        <v>1124</v>
      </c>
      <c r="C490" s="20"/>
      <c r="D490" s="21" t="s">
        <v>1697</v>
      </c>
      <c r="E490" s="20"/>
      <c r="F490" s="23" t="s">
        <v>254</v>
      </c>
      <c r="H490" s="21" t="s">
        <v>364</v>
      </c>
      <c r="J490" s="21" t="s">
        <v>89</v>
      </c>
      <c r="L490" s="21" t="s">
        <v>737</v>
      </c>
      <c r="N490" s="21" t="s">
        <v>103</v>
      </c>
      <c r="P490" s="21" t="s">
        <v>1620</v>
      </c>
      <c r="R490" s="21" t="s">
        <v>77</v>
      </c>
      <c r="S490" s="20"/>
      <c r="T490" s="58" t="s">
        <v>1699</v>
      </c>
      <c r="V490" s="26" t="s">
        <v>79</v>
      </c>
      <c r="W490" s="60"/>
      <c r="X490" s="26" t="s">
        <v>80</v>
      </c>
      <c r="Y490" s="60"/>
      <c r="Z490" s="26" t="s">
        <v>79</v>
      </c>
      <c r="AA490" s="60"/>
      <c r="AB490" s="26" t="s">
        <v>80</v>
      </c>
      <c r="AC490" s="60"/>
      <c r="AD490" s="23" t="s">
        <v>1703</v>
      </c>
    </row>
    <row r="491" spans="2:30" ht="135.94999999999999">
      <c r="B491" s="21" t="s">
        <v>1145</v>
      </c>
      <c r="C491" s="20"/>
      <c r="D491" s="21" t="s">
        <v>1697</v>
      </c>
      <c r="E491" s="20"/>
      <c r="F491" s="23" t="s">
        <v>254</v>
      </c>
      <c r="H491" s="21" t="s">
        <v>364</v>
      </c>
      <c r="J491" s="21" t="s">
        <v>89</v>
      </c>
      <c r="L491" s="21" t="s">
        <v>737</v>
      </c>
      <c r="N491" s="21" t="s">
        <v>103</v>
      </c>
      <c r="P491" s="21" t="s">
        <v>1704</v>
      </c>
      <c r="R491" s="21" t="s">
        <v>77</v>
      </c>
      <c r="S491" s="20"/>
      <c r="T491" s="58" t="s">
        <v>1699</v>
      </c>
      <c r="V491" s="26" t="s">
        <v>79</v>
      </c>
      <c r="W491" s="60"/>
      <c r="X491" s="26" t="s">
        <v>80</v>
      </c>
      <c r="Y491" s="60"/>
      <c r="Z491" s="26" t="s">
        <v>79</v>
      </c>
      <c r="AA491" s="60"/>
      <c r="AB491" s="26" t="s">
        <v>80</v>
      </c>
      <c r="AC491" s="60"/>
      <c r="AD491" s="23" t="s">
        <v>1705</v>
      </c>
    </row>
    <row r="492" spans="2:30" ht="51">
      <c r="B492" s="21" t="s">
        <v>1148</v>
      </c>
      <c r="C492" s="20"/>
      <c r="D492" s="21" t="s">
        <v>1697</v>
      </c>
      <c r="E492" s="20"/>
      <c r="F492" s="23" t="s">
        <v>254</v>
      </c>
      <c r="H492" s="21" t="s">
        <v>364</v>
      </c>
      <c r="J492" s="21" t="s">
        <v>89</v>
      </c>
      <c r="L492" s="21" t="s">
        <v>737</v>
      </c>
      <c r="N492" s="21" t="s">
        <v>103</v>
      </c>
      <c r="P492" s="21" t="s">
        <v>1706</v>
      </c>
      <c r="R492" s="21" t="s">
        <v>77</v>
      </c>
      <c r="S492" s="20"/>
      <c r="T492" s="58" t="s">
        <v>1699</v>
      </c>
      <c r="V492" s="26" t="s">
        <v>79</v>
      </c>
      <c r="W492" s="60"/>
      <c r="X492" s="26" t="s">
        <v>80</v>
      </c>
      <c r="Y492" s="60"/>
      <c r="Z492" s="26" t="s">
        <v>79</v>
      </c>
      <c r="AA492" s="60"/>
      <c r="AB492" s="26" t="s">
        <v>80</v>
      </c>
      <c r="AC492" s="60"/>
      <c r="AD492" s="23" t="s">
        <v>1707</v>
      </c>
    </row>
    <row r="493" spans="2:30" ht="51">
      <c r="B493" s="21" t="s">
        <v>1130</v>
      </c>
      <c r="C493" s="20"/>
      <c r="D493" s="21" t="s">
        <v>1697</v>
      </c>
      <c r="E493" s="20"/>
      <c r="F493" s="23" t="s">
        <v>254</v>
      </c>
      <c r="H493" s="21" t="s">
        <v>291</v>
      </c>
      <c r="J493" s="21" t="s">
        <v>89</v>
      </c>
      <c r="L493" s="21" t="s">
        <v>737</v>
      </c>
      <c r="N493" s="21" t="s">
        <v>185</v>
      </c>
      <c r="P493" s="21" t="s">
        <v>1708</v>
      </c>
      <c r="R493" s="21" t="s">
        <v>77</v>
      </c>
      <c r="S493" s="20"/>
      <c r="T493" s="58" t="s">
        <v>1699</v>
      </c>
      <c r="V493" s="26" t="s">
        <v>79</v>
      </c>
      <c r="W493" s="60"/>
      <c r="X493" s="26" t="s">
        <v>80</v>
      </c>
      <c r="Y493" s="60"/>
      <c r="Z493" s="26" t="s">
        <v>79</v>
      </c>
      <c r="AA493" s="60"/>
      <c r="AB493" s="26" t="s">
        <v>80</v>
      </c>
      <c r="AC493" s="60"/>
      <c r="AD493" s="23" t="s">
        <v>1709</v>
      </c>
    </row>
    <row r="494" spans="2:30" ht="51">
      <c r="B494" s="21" t="s">
        <v>1153</v>
      </c>
      <c r="C494" s="20"/>
      <c r="D494" s="21" t="s">
        <v>1697</v>
      </c>
      <c r="E494" s="20"/>
      <c r="F494" s="23" t="s">
        <v>254</v>
      </c>
      <c r="H494" s="21" t="s">
        <v>291</v>
      </c>
      <c r="J494" s="21" t="s">
        <v>89</v>
      </c>
      <c r="L494" s="21" t="s">
        <v>737</v>
      </c>
      <c r="N494" s="21" t="s">
        <v>185</v>
      </c>
      <c r="P494" s="21" t="s">
        <v>1710</v>
      </c>
      <c r="R494" s="21" t="s">
        <v>77</v>
      </c>
      <c r="S494" s="20"/>
      <c r="T494" s="58" t="s">
        <v>1699</v>
      </c>
      <c r="V494" s="26" t="s">
        <v>79</v>
      </c>
      <c r="W494" s="60"/>
      <c r="X494" s="26" t="s">
        <v>80</v>
      </c>
      <c r="Y494" s="60"/>
      <c r="Z494" s="26" t="s">
        <v>79</v>
      </c>
      <c r="AA494" s="60"/>
      <c r="AB494" s="23" t="s">
        <v>753</v>
      </c>
      <c r="AC494" s="60"/>
      <c r="AD494" s="23" t="s">
        <v>1711</v>
      </c>
    </row>
    <row r="495" spans="2:30" ht="84.95">
      <c r="B495" s="21" t="s">
        <v>1156</v>
      </c>
      <c r="C495" s="20"/>
      <c r="D495" s="21" t="s">
        <v>1697</v>
      </c>
      <c r="E495" s="20"/>
      <c r="F495" s="23" t="s">
        <v>254</v>
      </c>
      <c r="H495" s="21" t="s">
        <v>291</v>
      </c>
      <c r="J495" s="21" t="s">
        <v>89</v>
      </c>
      <c r="L495" s="21" t="s">
        <v>737</v>
      </c>
      <c r="N495" s="21" t="s">
        <v>185</v>
      </c>
      <c r="P495" s="21" t="s">
        <v>1135</v>
      </c>
      <c r="R495" s="21" t="s">
        <v>77</v>
      </c>
      <c r="S495" s="20"/>
      <c r="T495" s="58" t="s">
        <v>1699</v>
      </c>
      <c r="V495" s="26" t="s">
        <v>79</v>
      </c>
      <c r="W495" s="60"/>
      <c r="X495" s="26" t="s">
        <v>80</v>
      </c>
      <c r="Y495" s="60"/>
      <c r="Z495" s="26" t="s">
        <v>79</v>
      </c>
      <c r="AA495" s="60"/>
      <c r="AB495" s="26" t="s">
        <v>80</v>
      </c>
      <c r="AC495" s="60"/>
      <c r="AD495" s="23" t="s">
        <v>1712</v>
      </c>
    </row>
    <row r="496" spans="2:30" ht="68.099999999999994">
      <c r="B496" s="21" t="s">
        <v>1713</v>
      </c>
      <c r="C496" s="20"/>
      <c r="D496" s="21" t="s">
        <v>1714</v>
      </c>
      <c r="E496" s="20"/>
      <c r="F496" s="23" t="s">
        <v>254</v>
      </c>
      <c r="H496" s="21" t="s">
        <v>262</v>
      </c>
      <c r="J496" s="21" t="s">
        <v>89</v>
      </c>
      <c r="L496" s="21" t="s">
        <v>737</v>
      </c>
      <c r="N496" s="21" t="s">
        <v>103</v>
      </c>
      <c r="P496" s="21" t="s">
        <v>1715</v>
      </c>
      <c r="R496" s="21" t="s">
        <v>77</v>
      </c>
      <c r="S496" s="20"/>
      <c r="T496" s="58" t="s">
        <v>1716</v>
      </c>
      <c r="V496" s="26" t="s">
        <v>79</v>
      </c>
      <c r="W496" s="60"/>
      <c r="X496" s="26" t="s">
        <v>80</v>
      </c>
      <c r="Y496" s="60"/>
      <c r="Z496" s="26" t="s">
        <v>79</v>
      </c>
      <c r="AA496" s="60"/>
      <c r="AB496" s="26" t="s">
        <v>80</v>
      </c>
      <c r="AD496" s="23" t="s">
        <v>1717</v>
      </c>
    </row>
    <row r="497" spans="2:30" ht="51">
      <c r="B497" s="21" t="s">
        <v>1120</v>
      </c>
      <c r="C497" s="20"/>
      <c r="D497" s="21" t="s">
        <v>1714</v>
      </c>
      <c r="E497" s="20"/>
      <c r="F497" s="23" t="s">
        <v>254</v>
      </c>
      <c r="H497" s="21" t="s">
        <v>364</v>
      </c>
      <c r="J497" s="21" t="s">
        <v>89</v>
      </c>
      <c r="L497" s="21" t="s">
        <v>737</v>
      </c>
      <c r="N497" s="21" t="s">
        <v>103</v>
      </c>
      <c r="P497" s="21" t="s">
        <v>1718</v>
      </c>
      <c r="R497" s="21" t="s">
        <v>77</v>
      </c>
      <c r="S497" s="20"/>
      <c r="T497" s="58" t="s">
        <v>1716</v>
      </c>
      <c r="V497" s="26" t="s">
        <v>79</v>
      </c>
      <c r="W497" s="60"/>
      <c r="X497" s="26" t="s">
        <v>80</v>
      </c>
      <c r="Y497" s="60"/>
      <c r="Z497" s="26" t="s">
        <v>79</v>
      </c>
      <c r="AA497" s="60"/>
      <c r="AB497" s="26" t="s">
        <v>80</v>
      </c>
      <c r="AC497" s="60"/>
      <c r="AD497" s="23" t="s">
        <v>1719</v>
      </c>
    </row>
    <row r="498" spans="2:30" ht="51">
      <c r="B498" s="21" t="s">
        <v>1124</v>
      </c>
      <c r="C498" s="20"/>
      <c r="D498" s="21" t="s">
        <v>1714</v>
      </c>
      <c r="E498" s="20"/>
      <c r="F498" s="23" t="s">
        <v>254</v>
      </c>
      <c r="H498" s="21" t="s">
        <v>364</v>
      </c>
      <c r="J498" s="21" t="s">
        <v>89</v>
      </c>
      <c r="L498" s="21" t="s">
        <v>737</v>
      </c>
      <c r="N498" s="21" t="s">
        <v>103</v>
      </c>
      <c r="P498" s="21" t="s">
        <v>1720</v>
      </c>
      <c r="R498" s="21" t="s">
        <v>77</v>
      </c>
      <c r="S498" s="20"/>
      <c r="T498" s="58" t="s">
        <v>1716</v>
      </c>
      <c r="V498" s="26" t="s">
        <v>79</v>
      </c>
      <c r="W498" s="60"/>
      <c r="X498" s="26" t="s">
        <v>80</v>
      </c>
      <c r="Y498" s="60"/>
      <c r="Z498" s="26" t="s">
        <v>79</v>
      </c>
      <c r="AA498" s="60"/>
      <c r="AB498" s="26" t="s">
        <v>80</v>
      </c>
      <c r="AC498" s="60"/>
      <c r="AD498" s="23" t="s">
        <v>1721</v>
      </c>
    </row>
    <row r="499" spans="2:30" ht="119.1">
      <c r="B499" s="21" t="s">
        <v>1145</v>
      </c>
      <c r="C499" s="20"/>
      <c r="D499" s="21" t="s">
        <v>1714</v>
      </c>
      <c r="E499" s="20"/>
      <c r="F499" s="23" t="s">
        <v>254</v>
      </c>
      <c r="H499" s="21" t="s">
        <v>364</v>
      </c>
      <c r="J499" s="21" t="s">
        <v>89</v>
      </c>
      <c r="L499" s="21" t="s">
        <v>737</v>
      </c>
      <c r="N499" s="21" t="s">
        <v>103</v>
      </c>
      <c r="P499" s="21" t="s">
        <v>1722</v>
      </c>
      <c r="R499" s="21" t="s">
        <v>77</v>
      </c>
      <c r="S499" s="20"/>
      <c r="T499" s="58" t="s">
        <v>1716</v>
      </c>
      <c r="V499" s="26" t="s">
        <v>79</v>
      </c>
      <c r="W499" s="60"/>
      <c r="X499" s="26" t="s">
        <v>80</v>
      </c>
      <c r="Y499" s="60"/>
      <c r="Z499" s="26" t="s">
        <v>79</v>
      </c>
      <c r="AA499" s="60"/>
      <c r="AB499" s="26" t="s">
        <v>80</v>
      </c>
      <c r="AC499" s="60"/>
      <c r="AD499" s="23" t="s">
        <v>1723</v>
      </c>
    </row>
    <row r="500" spans="2:30" ht="51">
      <c r="B500" s="21" t="s">
        <v>1148</v>
      </c>
      <c r="C500" s="20"/>
      <c r="D500" s="21" t="s">
        <v>1714</v>
      </c>
      <c r="E500" s="20"/>
      <c r="F500" s="23" t="s">
        <v>254</v>
      </c>
      <c r="H500" s="21" t="s">
        <v>364</v>
      </c>
      <c r="J500" s="21" t="s">
        <v>89</v>
      </c>
      <c r="L500" s="21" t="s">
        <v>737</v>
      </c>
      <c r="N500" s="21" t="s">
        <v>103</v>
      </c>
      <c r="P500" s="21" t="s">
        <v>1724</v>
      </c>
      <c r="R500" s="21" t="s">
        <v>77</v>
      </c>
      <c r="S500" s="20"/>
      <c r="T500" s="58" t="s">
        <v>1716</v>
      </c>
      <c r="V500" s="26" t="s">
        <v>79</v>
      </c>
      <c r="W500" s="60"/>
      <c r="X500" s="26" t="s">
        <v>80</v>
      </c>
      <c r="Y500" s="60"/>
      <c r="Z500" s="26" t="s">
        <v>79</v>
      </c>
      <c r="AA500" s="60"/>
      <c r="AB500" s="26" t="s">
        <v>80</v>
      </c>
      <c r="AC500" s="60"/>
      <c r="AD500" s="23" t="s">
        <v>1725</v>
      </c>
    </row>
    <row r="501" spans="2:30" ht="68.099999999999994">
      <c r="B501" s="21" t="s">
        <v>1130</v>
      </c>
      <c r="C501" s="20"/>
      <c r="D501" s="21" t="s">
        <v>1714</v>
      </c>
      <c r="E501" s="20"/>
      <c r="F501" s="23" t="s">
        <v>254</v>
      </c>
      <c r="H501" s="21" t="s">
        <v>291</v>
      </c>
      <c r="J501" s="21" t="s">
        <v>89</v>
      </c>
      <c r="L501" s="21" t="s">
        <v>737</v>
      </c>
      <c r="N501" s="21" t="s">
        <v>185</v>
      </c>
      <c r="P501" s="21" t="s">
        <v>1726</v>
      </c>
      <c r="R501" s="21" t="s">
        <v>77</v>
      </c>
      <c r="S501" s="20"/>
      <c r="T501" s="58" t="s">
        <v>1716</v>
      </c>
      <c r="V501" s="26" t="s">
        <v>79</v>
      </c>
      <c r="W501" s="60"/>
      <c r="X501" s="26" t="s">
        <v>80</v>
      </c>
      <c r="Y501" s="60"/>
      <c r="Z501" s="26" t="s">
        <v>79</v>
      </c>
      <c r="AA501" s="60"/>
      <c r="AB501" s="26" t="s">
        <v>80</v>
      </c>
      <c r="AC501" s="60"/>
      <c r="AD501" s="23" t="s">
        <v>1727</v>
      </c>
    </row>
    <row r="502" spans="2:30" ht="51">
      <c r="B502" s="21" t="s">
        <v>1153</v>
      </c>
      <c r="C502" s="20"/>
      <c r="D502" s="21" t="s">
        <v>1714</v>
      </c>
      <c r="E502" s="20"/>
      <c r="F502" s="23" t="s">
        <v>254</v>
      </c>
      <c r="H502" s="21" t="s">
        <v>291</v>
      </c>
      <c r="J502" s="21" t="s">
        <v>89</v>
      </c>
      <c r="L502" s="21" t="s">
        <v>737</v>
      </c>
      <c r="N502" s="21" t="s">
        <v>185</v>
      </c>
      <c r="P502" s="21" t="s">
        <v>1728</v>
      </c>
      <c r="R502" s="21" t="s">
        <v>77</v>
      </c>
      <c r="S502" s="20"/>
      <c r="T502" s="58" t="s">
        <v>1716</v>
      </c>
      <c r="V502" s="26" t="s">
        <v>79</v>
      </c>
      <c r="W502" s="60"/>
      <c r="X502" s="26" t="s">
        <v>80</v>
      </c>
      <c r="Y502" s="60"/>
      <c r="Z502" s="26" t="s">
        <v>79</v>
      </c>
      <c r="AA502" s="60"/>
      <c r="AB502" s="23" t="s">
        <v>753</v>
      </c>
      <c r="AC502" s="60"/>
      <c r="AD502" s="23" t="s">
        <v>1729</v>
      </c>
    </row>
    <row r="503" spans="2:30" ht="84.95">
      <c r="B503" s="21" t="s">
        <v>1156</v>
      </c>
      <c r="C503" s="20"/>
      <c r="D503" s="21" t="s">
        <v>1714</v>
      </c>
      <c r="E503" s="20"/>
      <c r="F503" s="23" t="s">
        <v>254</v>
      </c>
      <c r="H503" s="21" t="s">
        <v>291</v>
      </c>
      <c r="J503" s="21" t="s">
        <v>89</v>
      </c>
      <c r="L503" s="21" t="s">
        <v>737</v>
      </c>
      <c r="N503" s="21" t="s">
        <v>185</v>
      </c>
      <c r="P503" s="21" t="s">
        <v>1135</v>
      </c>
      <c r="R503" s="21" t="s">
        <v>77</v>
      </c>
      <c r="S503" s="20"/>
      <c r="T503" s="58" t="s">
        <v>1716</v>
      </c>
      <c r="V503" s="26" t="s">
        <v>79</v>
      </c>
      <c r="W503" s="60"/>
      <c r="X503" s="26" t="s">
        <v>80</v>
      </c>
      <c r="Y503" s="60"/>
      <c r="Z503" s="26" t="s">
        <v>79</v>
      </c>
      <c r="AA503" s="60"/>
      <c r="AB503" s="26" t="s">
        <v>80</v>
      </c>
      <c r="AC503" s="60"/>
      <c r="AD503" s="23" t="s">
        <v>1730</v>
      </c>
    </row>
    <row r="504" spans="2:30" ht="51">
      <c r="B504" s="21" t="s">
        <v>1731</v>
      </c>
      <c r="C504" s="20"/>
      <c r="D504" s="21" t="s">
        <v>1732</v>
      </c>
      <c r="E504" s="20"/>
      <c r="F504" s="23" t="s">
        <v>254</v>
      </c>
      <c r="H504" s="21" t="s">
        <v>262</v>
      </c>
      <c r="J504" s="21" t="s">
        <v>89</v>
      </c>
      <c r="L504" s="21" t="s">
        <v>737</v>
      </c>
      <c r="N504" s="21" t="s">
        <v>103</v>
      </c>
      <c r="P504" s="21" t="s">
        <v>1733</v>
      </c>
      <c r="R504" s="21" t="s">
        <v>77</v>
      </c>
      <c r="S504" s="20"/>
      <c r="T504" s="58" t="s">
        <v>1734</v>
      </c>
      <c r="V504" s="26" t="s">
        <v>79</v>
      </c>
      <c r="W504" s="60"/>
      <c r="X504" s="26" t="s">
        <v>80</v>
      </c>
      <c r="Y504" s="60"/>
      <c r="Z504" s="26" t="s">
        <v>79</v>
      </c>
      <c r="AA504" s="60"/>
      <c r="AB504" s="26" t="s">
        <v>80</v>
      </c>
      <c r="AD504" s="23" t="s">
        <v>1735</v>
      </c>
    </row>
    <row r="505" spans="2:30" ht="51">
      <c r="B505" s="21" t="s">
        <v>1120</v>
      </c>
      <c r="C505" s="20"/>
      <c r="D505" s="21" t="s">
        <v>1732</v>
      </c>
      <c r="E505" s="20"/>
      <c r="F505" s="23" t="s">
        <v>254</v>
      </c>
      <c r="H505" s="21" t="s">
        <v>364</v>
      </c>
      <c r="J505" s="21" t="s">
        <v>89</v>
      </c>
      <c r="L505" s="21" t="s">
        <v>737</v>
      </c>
      <c r="N505" s="21" t="s">
        <v>103</v>
      </c>
      <c r="P505" s="21" t="s">
        <v>1736</v>
      </c>
      <c r="R505" s="21" t="s">
        <v>77</v>
      </c>
      <c r="S505" s="20"/>
      <c r="T505" s="58" t="s">
        <v>1734</v>
      </c>
      <c r="V505" s="26" t="s">
        <v>79</v>
      </c>
      <c r="W505" s="60"/>
      <c r="X505" s="26" t="s">
        <v>80</v>
      </c>
      <c r="Y505" s="60"/>
      <c r="Z505" s="26" t="s">
        <v>79</v>
      </c>
      <c r="AA505" s="60"/>
      <c r="AB505" s="26" t="s">
        <v>80</v>
      </c>
      <c r="AC505" s="60"/>
      <c r="AD505" s="23" t="s">
        <v>1737</v>
      </c>
    </row>
    <row r="506" spans="2:30" ht="51">
      <c r="B506" s="21" t="s">
        <v>1124</v>
      </c>
      <c r="C506" s="20"/>
      <c r="D506" s="21" t="s">
        <v>1732</v>
      </c>
      <c r="E506" s="20"/>
      <c r="F506" s="23" t="s">
        <v>254</v>
      </c>
      <c r="H506" s="21" t="s">
        <v>364</v>
      </c>
      <c r="J506" s="21" t="s">
        <v>89</v>
      </c>
      <c r="L506" s="21" t="s">
        <v>737</v>
      </c>
      <c r="N506" s="21" t="s">
        <v>103</v>
      </c>
      <c r="P506" s="21" t="s">
        <v>1738</v>
      </c>
      <c r="R506" s="21" t="s">
        <v>77</v>
      </c>
      <c r="S506" s="20"/>
      <c r="T506" s="58" t="s">
        <v>1734</v>
      </c>
      <c r="V506" s="26" t="s">
        <v>79</v>
      </c>
      <c r="W506" s="60"/>
      <c r="X506" s="26" t="s">
        <v>80</v>
      </c>
      <c r="Y506" s="60"/>
      <c r="Z506" s="26" t="s">
        <v>79</v>
      </c>
      <c r="AA506" s="60"/>
      <c r="AB506" s="26" t="s">
        <v>80</v>
      </c>
      <c r="AC506" s="60"/>
      <c r="AD506" s="23" t="s">
        <v>1739</v>
      </c>
    </row>
    <row r="507" spans="2:30" ht="186.95">
      <c r="B507" s="21" t="s">
        <v>1145</v>
      </c>
      <c r="C507" s="20"/>
      <c r="D507" s="21" t="s">
        <v>1732</v>
      </c>
      <c r="E507" s="20"/>
      <c r="F507" s="23" t="s">
        <v>254</v>
      </c>
      <c r="H507" s="21" t="s">
        <v>364</v>
      </c>
      <c r="J507" s="21" t="s">
        <v>89</v>
      </c>
      <c r="L507" s="21" t="s">
        <v>737</v>
      </c>
      <c r="N507" s="21" t="s">
        <v>103</v>
      </c>
      <c r="P507" s="21" t="s">
        <v>1740</v>
      </c>
      <c r="R507" s="21" t="s">
        <v>77</v>
      </c>
      <c r="S507" s="20"/>
      <c r="T507" s="58" t="s">
        <v>1734</v>
      </c>
      <c r="V507" s="26" t="s">
        <v>79</v>
      </c>
      <c r="W507" s="60"/>
      <c r="X507" s="26" t="s">
        <v>80</v>
      </c>
      <c r="Y507" s="60"/>
      <c r="Z507" s="26" t="s">
        <v>79</v>
      </c>
      <c r="AA507" s="60"/>
      <c r="AB507" s="26" t="s">
        <v>80</v>
      </c>
      <c r="AC507" s="60"/>
      <c r="AD507" s="23" t="s">
        <v>1741</v>
      </c>
    </row>
    <row r="508" spans="2:30" ht="68.099999999999994">
      <c r="B508" s="21" t="s">
        <v>1148</v>
      </c>
      <c r="C508" s="20"/>
      <c r="D508" s="21" t="s">
        <v>1732</v>
      </c>
      <c r="E508" s="20"/>
      <c r="F508" s="23" t="s">
        <v>254</v>
      </c>
      <c r="H508" s="21" t="s">
        <v>364</v>
      </c>
      <c r="J508" s="21" t="s">
        <v>89</v>
      </c>
      <c r="L508" s="21" t="s">
        <v>737</v>
      </c>
      <c r="N508" s="21" t="s">
        <v>103</v>
      </c>
      <c r="P508" s="21" t="s">
        <v>1742</v>
      </c>
      <c r="R508" s="21" t="s">
        <v>77</v>
      </c>
      <c r="S508" s="20"/>
      <c r="T508" s="58" t="s">
        <v>1734</v>
      </c>
      <c r="V508" s="26" t="s">
        <v>79</v>
      </c>
      <c r="W508" s="60"/>
      <c r="X508" s="26" t="s">
        <v>80</v>
      </c>
      <c r="Y508" s="60"/>
      <c r="Z508" s="26" t="s">
        <v>79</v>
      </c>
      <c r="AA508" s="60"/>
      <c r="AB508" s="26" t="s">
        <v>80</v>
      </c>
      <c r="AC508" s="60"/>
      <c r="AD508" s="23" t="s">
        <v>1743</v>
      </c>
    </row>
    <row r="509" spans="2:30" ht="51">
      <c r="B509" s="21" t="s">
        <v>1130</v>
      </c>
      <c r="C509" s="20"/>
      <c r="D509" s="21" t="s">
        <v>1732</v>
      </c>
      <c r="E509" s="20"/>
      <c r="F509" s="23" t="s">
        <v>254</v>
      </c>
      <c r="H509" s="21" t="s">
        <v>291</v>
      </c>
      <c r="J509" s="21" t="s">
        <v>89</v>
      </c>
      <c r="L509" s="21" t="s">
        <v>737</v>
      </c>
      <c r="N509" s="21" t="s">
        <v>185</v>
      </c>
      <c r="P509" s="21" t="s">
        <v>1744</v>
      </c>
      <c r="R509" s="21" t="s">
        <v>77</v>
      </c>
      <c r="S509" s="20"/>
      <c r="T509" s="58" t="s">
        <v>1734</v>
      </c>
      <c r="V509" s="26" t="s">
        <v>79</v>
      </c>
      <c r="W509" s="60"/>
      <c r="X509" s="26" t="s">
        <v>80</v>
      </c>
      <c r="Y509" s="60"/>
      <c r="Z509" s="26" t="s">
        <v>79</v>
      </c>
      <c r="AA509" s="60"/>
      <c r="AB509" s="26" t="s">
        <v>80</v>
      </c>
      <c r="AC509" s="60"/>
      <c r="AD509" s="23" t="s">
        <v>1745</v>
      </c>
    </row>
    <row r="510" spans="2:30" ht="51">
      <c r="B510" s="21" t="s">
        <v>1153</v>
      </c>
      <c r="C510" s="20"/>
      <c r="D510" s="21" t="s">
        <v>1732</v>
      </c>
      <c r="E510" s="20"/>
      <c r="F510" s="23" t="s">
        <v>254</v>
      </c>
      <c r="H510" s="21" t="s">
        <v>291</v>
      </c>
      <c r="J510" s="21" t="s">
        <v>89</v>
      </c>
      <c r="L510" s="21" t="s">
        <v>737</v>
      </c>
      <c r="N510" s="21" t="s">
        <v>185</v>
      </c>
      <c r="P510" s="21" t="s">
        <v>1746</v>
      </c>
      <c r="R510" s="21" t="s">
        <v>77</v>
      </c>
      <c r="S510" s="20"/>
      <c r="T510" s="58" t="s">
        <v>1734</v>
      </c>
      <c r="V510" s="26" t="s">
        <v>79</v>
      </c>
      <c r="W510" s="60"/>
      <c r="X510" s="26" t="s">
        <v>80</v>
      </c>
      <c r="Y510" s="60"/>
      <c r="Z510" s="26" t="s">
        <v>79</v>
      </c>
      <c r="AA510" s="60"/>
      <c r="AB510" s="23" t="s">
        <v>753</v>
      </c>
      <c r="AC510" s="60"/>
      <c r="AD510" s="23" t="s">
        <v>1747</v>
      </c>
    </row>
    <row r="511" spans="2:30" ht="84.95">
      <c r="B511" s="21" t="s">
        <v>1156</v>
      </c>
      <c r="C511" s="20"/>
      <c r="D511" s="21" t="s">
        <v>1732</v>
      </c>
      <c r="E511" s="20"/>
      <c r="F511" s="23" t="s">
        <v>254</v>
      </c>
      <c r="H511" s="21" t="s">
        <v>291</v>
      </c>
      <c r="J511" s="21" t="s">
        <v>89</v>
      </c>
      <c r="L511" s="21" t="s">
        <v>737</v>
      </c>
      <c r="N511" s="21" t="s">
        <v>185</v>
      </c>
      <c r="P511" s="21" t="s">
        <v>1531</v>
      </c>
      <c r="R511" s="21" t="s">
        <v>77</v>
      </c>
      <c r="S511" s="20"/>
      <c r="T511" s="58" t="s">
        <v>1734</v>
      </c>
      <c r="V511" s="26" t="s">
        <v>79</v>
      </c>
      <c r="W511" s="60"/>
      <c r="X511" s="26" t="s">
        <v>80</v>
      </c>
      <c r="Y511" s="60"/>
      <c r="Z511" s="26" t="s">
        <v>79</v>
      </c>
      <c r="AA511" s="60"/>
      <c r="AB511" s="26" t="s">
        <v>80</v>
      </c>
      <c r="AC511" s="60"/>
      <c r="AD511" s="23" t="s">
        <v>1748</v>
      </c>
    </row>
    <row r="512" spans="2:30" ht="68.099999999999994">
      <c r="B512" s="21" t="s">
        <v>1749</v>
      </c>
      <c r="C512" s="20"/>
      <c r="D512" s="21" t="s">
        <v>1750</v>
      </c>
      <c r="E512" s="20"/>
      <c r="F512" s="23" t="s">
        <v>254</v>
      </c>
      <c r="H512" s="21" t="s">
        <v>262</v>
      </c>
      <c r="J512" s="21" t="s">
        <v>89</v>
      </c>
      <c r="L512" s="21" t="s">
        <v>737</v>
      </c>
      <c r="N512" s="21" t="s">
        <v>103</v>
      </c>
      <c r="P512" s="21" t="s">
        <v>1751</v>
      </c>
      <c r="R512" s="21" t="s">
        <v>77</v>
      </c>
      <c r="S512" s="20"/>
      <c r="T512" s="58" t="s">
        <v>1752</v>
      </c>
      <c r="V512" s="26" t="s">
        <v>79</v>
      </c>
      <c r="W512" s="60"/>
      <c r="X512" s="26" t="s">
        <v>80</v>
      </c>
      <c r="Y512" s="60"/>
      <c r="Z512" s="26" t="s">
        <v>79</v>
      </c>
      <c r="AA512" s="60"/>
      <c r="AB512" s="26" t="s">
        <v>80</v>
      </c>
      <c r="AD512" s="23" t="s">
        <v>1753</v>
      </c>
    </row>
    <row r="513" spans="2:30" ht="51">
      <c r="B513" s="21" t="s">
        <v>1120</v>
      </c>
      <c r="C513" s="20"/>
      <c r="D513" s="21" t="s">
        <v>1750</v>
      </c>
      <c r="E513" s="20"/>
      <c r="F513" s="23" t="s">
        <v>254</v>
      </c>
      <c r="H513" s="21" t="s">
        <v>364</v>
      </c>
      <c r="J513" s="21" t="s">
        <v>89</v>
      </c>
      <c r="L513" s="21" t="s">
        <v>737</v>
      </c>
      <c r="N513" s="21" t="s">
        <v>103</v>
      </c>
      <c r="P513" s="21" t="s">
        <v>1754</v>
      </c>
      <c r="R513" s="21" t="s">
        <v>77</v>
      </c>
      <c r="S513" s="20"/>
      <c r="T513" s="58" t="s">
        <v>1752</v>
      </c>
      <c r="V513" s="26" t="s">
        <v>79</v>
      </c>
      <c r="W513" s="60"/>
      <c r="X513" s="26" t="s">
        <v>80</v>
      </c>
      <c r="Y513" s="60"/>
      <c r="Z513" s="26" t="s">
        <v>79</v>
      </c>
      <c r="AA513" s="60"/>
      <c r="AB513" s="26" t="s">
        <v>80</v>
      </c>
      <c r="AC513" s="60"/>
      <c r="AD513" s="23" t="s">
        <v>1755</v>
      </c>
    </row>
    <row r="514" spans="2:30" ht="51">
      <c r="B514" s="21" t="s">
        <v>1124</v>
      </c>
      <c r="C514" s="20"/>
      <c r="D514" s="21" t="s">
        <v>1750</v>
      </c>
      <c r="E514" s="20"/>
      <c r="F514" s="23" t="s">
        <v>254</v>
      </c>
      <c r="H514" s="21" t="s">
        <v>364</v>
      </c>
      <c r="J514" s="21" t="s">
        <v>89</v>
      </c>
      <c r="L514" s="21" t="s">
        <v>737</v>
      </c>
      <c r="N514" s="21" t="s">
        <v>103</v>
      </c>
      <c r="P514" s="21" t="s">
        <v>1756</v>
      </c>
      <c r="R514" s="21" t="s">
        <v>77</v>
      </c>
      <c r="S514" s="20"/>
      <c r="T514" s="58" t="s">
        <v>1752</v>
      </c>
      <c r="V514" s="26" t="s">
        <v>79</v>
      </c>
      <c r="W514" s="60"/>
      <c r="X514" s="26" t="s">
        <v>80</v>
      </c>
      <c r="Y514" s="60"/>
      <c r="Z514" s="26" t="s">
        <v>79</v>
      </c>
      <c r="AA514" s="60"/>
      <c r="AB514" s="26" t="s">
        <v>80</v>
      </c>
      <c r="AC514" s="60"/>
      <c r="AD514" s="23" t="s">
        <v>1757</v>
      </c>
    </row>
    <row r="515" spans="2:30" ht="186.95">
      <c r="B515" s="21" t="s">
        <v>1145</v>
      </c>
      <c r="C515" s="20"/>
      <c r="D515" s="21" t="s">
        <v>1750</v>
      </c>
      <c r="E515" s="20"/>
      <c r="F515" s="23" t="s">
        <v>254</v>
      </c>
      <c r="H515" s="21" t="s">
        <v>364</v>
      </c>
      <c r="J515" s="21" t="s">
        <v>89</v>
      </c>
      <c r="L515" s="21" t="s">
        <v>737</v>
      </c>
      <c r="N515" s="21" t="s">
        <v>103</v>
      </c>
      <c r="P515" s="21" t="s">
        <v>1758</v>
      </c>
      <c r="R515" s="21" t="s">
        <v>77</v>
      </c>
      <c r="S515" s="20"/>
      <c r="T515" s="58" t="s">
        <v>1752</v>
      </c>
      <c r="V515" s="26" t="s">
        <v>79</v>
      </c>
      <c r="W515" s="60"/>
      <c r="X515" s="26" t="s">
        <v>80</v>
      </c>
      <c r="Y515" s="60"/>
      <c r="Z515" s="26" t="s">
        <v>79</v>
      </c>
      <c r="AA515" s="60"/>
      <c r="AB515" s="26" t="s">
        <v>80</v>
      </c>
      <c r="AC515" s="60"/>
      <c r="AD515" s="23" t="s">
        <v>1759</v>
      </c>
    </row>
    <row r="516" spans="2:30" ht="51">
      <c r="B516" s="21" t="s">
        <v>1148</v>
      </c>
      <c r="C516" s="20"/>
      <c r="D516" s="21" t="s">
        <v>1750</v>
      </c>
      <c r="E516" s="20"/>
      <c r="F516" s="23" t="s">
        <v>254</v>
      </c>
      <c r="H516" s="21" t="s">
        <v>364</v>
      </c>
      <c r="J516" s="21" t="s">
        <v>89</v>
      </c>
      <c r="L516" s="21" t="s">
        <v>737</v>
      </c>
      <c r="N516" s="21" t="s">
        <v>103</v>
      </c>
      <c r="P516" s="21" t="s">
        <v>1760</v>
      </c>
      <c r="R516" s="21" t="s">
        <v>77</v>
      </c>
      <c r="S516" s="20"/>
      <c r="T516" s="58" t="s">
        <v>1752</v>
      </c>
      <c r="V516" s="26" t="s">
        <v>79</v>
      </c>
      <c r="W516" s="60"/>
      <c r="X516" s="26" t="s">
        <v>80</v>
      </c>
      <c r="Y516" s="60"/>
      <c r="Z516" s="26" t="s">
        <v>79</v>
      </c>
      <c r="AA516" s="60"/>
      <c r="AB516" s="26" t="s">
        <v>80</v>
      </c>
      <c r="AC516" s="60"/>
      <c r="AD516" s="23" t="s">
        <v>1761</v>
      </c>
    </row>
    <row r="517" spans="2:30" ht="68.099999999999994">
      <c r="B517" s="21" t="s">
        <v>1130</v>
      </c>
      <c r="C517" s="20"/>
      <c r="D517" s="21" t="s">
        <v>1750</v>
      </c>
      <c r="E517" s="20"/>
      <c r="F517" s="23" t="s">
        <v>254</v>
      </c>
      <c r="H517" s="21" t="s">
        <v>291</v>
      </c>
      <c r="J517" s="21" t="s">
        <v>89</v>
      </c>
      <c r="L517" s="21" t="s">
        <v>737</v>
      </c>
      <c r="N517" s="21" t="s">
        <v>185</v>
      </c>
      <c r="P517" s="21" t="s">
        <v>1762</v>
      </c>
      <c r="R517" s="21" t="s">
        <v>77</v>
      </c>
      <c r="S517" s="20"/>
      <c r="T517" s="58" t="s">
        <v>1752</v>
      </c>
      <c r="V517" s="26" t="s">
        <v>79</v>
      </c>
      <c r="W517" s="60"/>
      <c r="X517" s="26" t="s">
        <v>80</v>
      </c>
      <c r="Y517" s="60"/>
      <c r="Z517" s="26" t="s">
        <v>79</v>
      </c>
      <c r="AA517" s="60"/>
      <c r="AB517" s="26" t="s">
        <v>80</v>
      </c>
      <c r="AC517" s="60"/>
      <c r="AD517" s="23" t="s">
        <v>1763</v>
      </c>
    </row>
    <row r="518" spans="2:30" ht="51">
      <c r="B518" s="21" t="s">
        <v>1153</v>
      </c>
      <c r="C518" s="20"/>
      <c r="D518" s="21" t="s">
        <v>1750</v>
      </c>
      <c r="E518" s="20"/>
      <c r="F518" s="23" t="s">
        <v>254</v>
      </c>
      <c r="H518" s="21" t="s">
        <v>291</v>
      </c>
      <c r="J518" s="21" t="s">
        <v>89</v>
      </c>
      <c r="L518" s="21" t="s">
        <v>737</v>
      </c>
      <c r="N518" s="21" t="s">
        <v>185</v>
      </c>
      <c r="P518" s="21" t="s">
        <v>1764</v>
      </c>
      <c r="R518" s="21" t="s">
        <v>77</v>
      </c>
      <c r="S518" s="20"/>
      <c r="T518" s="58" t="s">
        <v>1752</v>
      </c>
      <c r="V518" s="26" t="s">
        <v>79</v>
      </c>
      <c r="W518" s="60"/>
      <c r="X518" s="26" t="s">
        <v>80</v>
      </c>
      <c r="Y518" s="60"/>
      <c r="Z518" s="26" t="s">
        <v>79</v>
      </c>
      <c r="AA518" s="60"/>
      <c r="AB518" s="23" t="s">
        <v>753</v>
      </c>
      <c r="AC518" s="60"/>
      <c r="AD518" s="23" t="s">
        <v>1765</v>
      </c>
    </row>
    <row r="519" spans="2:30" ht="84.95">
      <c r="B519" s="21" t="s">
        <v>1156</v>
      </c>
      <c r="C519" s="20"/>
      <c r="D519" s="21" t="s">
        <v>1750</v>
      </c>
      <c r="E519" s="20"/>
      <c r="F519" s="23" t="s">
        <v>254</v>
      </c>
      <c r="H519" s="21" t="s">
        <v>291</v>
      </c>
      <c r="J519" s="21" t="s">
        <v>89</v>
      </c>
      <c r="L519" s="21" t="s">
        <v>737</v>
      </c>
      <c r="N519" s="21" t="s">
        <v>185</v>
      </c>
      <c r="P519" s="21" t="s">
        <v>1531</v>
      </c>
      <c r="R519" s="21" t="s">
        <v>77</v>
      </c>
      <c r="S519" s="20"/>
      <c r="T519" s="58" t="s">
        <v>1752</v>
      </c>
      <c r="V519" s="26" t="s">
        <v>79</v>
      </c>
      <c r="W519" s="60"/>
      <c r="X519" s="26" t="s">
        <v>80</v>
      </c>
      <c r="Y519" s="60"/>
      <c r="Z519" s="26" t="s">
        <v>79</v>
      </c>
      <c r="AA519" s="60"/>
      <c r="AB519" s="26" t="s">
        <v>80</v>
      </c>
      <c r="AC519" s="60"/>
      <c r="AD519" s="23" t="s">
        <v>1766</v>
      </c>
    </row>
    <row r="520" spans="2:30" ht="51">
      <c r="B520" s="21" t="s">
        <v>1767</v>
      </c>
      <c r="C520" s="20"/>
      <c r="D520" s="21" t="s">
        <v>1768</v>
      </c>
      <c r="E520" s="20"/>
      <c r="F520" s="23" t="s">
        <v>254</v>
      </c>
      <c r="H520" s="21" t="s">
        <v>262</v>
      </c>
      <c r="J520" s="21" t="s">
        <v>89</v>
      </c>
      <c r="L520" s="21" t="s">
        <v>737</v>
      </c>
      <c r="N520" s="21" t="s">
        <v>103</v>
      </c>
      <c r="P520" s="21" t="s">
        <v>1769</v>
      </c>
      <c r="R520" s="21" t="s">
        <v>77</v>
      </c>
      <c r="S520" s="20"/>
      <c r="T520" s="58" t="s">
        <v>1770</v>
      </c>
      <c r="V520" s="26" t="s">
        <v>79</v>
      </c>
      <c r="W520" s="60"/>
      <c r="X520" s="26" t="s">
        <v>80</v>
      </c>
      <c r="Y520" s="60"/>
      <c r="Z520" s="26" t="s">
        <v>79</v>
      </c>
      <c r="AA520" s="60"/>
      <c r="AB520" s="26" t="s">
        <v>80</v>
      </c>
      <c r="AD520" s="23" t="s">
        <v>1771</v>
      </c>
    </row>
    <row r="521" spans="2:30" ht="51">
      <c r="B521" s="21" t="s">
        <v>1120</v>
      </c>
      <c r="C521" s="20"/>
      <c r="D521" s="21" t="s">
        <v>1768</v>
      </c>
      <c r="E521" s="20"/>
      <c r="F521" s="23" t="s">
        <v>254</v>
      </c>
      <c r="H521" s="21" t="s">
        <v>364</v>
      </c>
      <c r="J521" s="21" t="s">
        <v>89</v>
      </c>
      <c r="L521" s="21" t="s">
        <v>737</v>
      </c>
      <c r="N521" s="21" t="s">
        <v>103</v>
      </c>
      <c r="P521" s="21" t="s">
        <v>1772</v>
      </c>
      <c r="R521" s="21" t="s">
        <v>77</v>
      </c>
      <c r="S521" s="20"/>
      <c r="T521" s="58" t="s">
        <v>1770</v>
      </c>
      <c r="V521" s="26" t="s">
        <v>79</v>
      </c>
      <c r="W521" s="60"/>
      <c r="X521" s="26" t="s">
        <v>80</v>
      </c>
      <c r="Y521" s="60"/>
      <c r="Z521" s="26" t="s">
        <v>79</v>
      </c>
      <c r="AA521" s="60"/>
      <c r="AB521" s="26" t="s">
        <v>80</v>
      </c>
      <c r="AC521" s="60"/>
      <c r="AD521" s="23" t="s">
        <v>1773</v>
      </c>
    </row>
    <row r="522" spans="2:30" ht="51">
      <c r="B522" s="21" t="s">
        <v>1199</v>
      </c>
      <c r="C522" s="20"/>
      <c r="D522" s="21" t="s">
        <v>1768</v>
      </c>
      <c r="E522" s="20"/>
      <c r="F522" s="23" t="s">
        <v>254</v>
      </c>
      <c r="H522" s="21" t="s">
        <v>298</v>
      </c>
      <c r="J522" s="21" t="s">
        <v>89</v>
      </c>
      <c r="L522" s="21" t="s">
        <v>737</v>
      </c>
      <c r="N522" s="21" t="s">
        <v>103</v>
      </c>
      <c r="P522" s="21" t="s">
        <v>1774</v>
      </c>
      <c r="R522" s="21" t="s">
        <v>77</v>
      </c>
      <c r="S522" s="20"/>
      <c r="T522" s="58" t="s">
        <v>1770</v>
      </c>
      <c r="V522" s="26" t="s">
        <v>79</v>
      </c>
      <c r="W522" s="60"/>
      <c r="X522" s="26" t="s">
        <v>80</v>
      </c>
      <c r="Y522" s="60"/>
      <c r="Z522" s="26" t="s">
        <v>79</v>
      </c>
      <c r="AA522" s="60"/>
      <c r="AB522" s="26" t="s">
        <v>80</v>
      </c>
      <c r="AC522" s="60"/>
      <c r="AD522" s="23" t="s">
        <v>1775</v>
      </c>
    </row>
    <row r="523" spans="2:30" ht="51">
      <c r="B523" s="21" t="s">
        <v>1124</v>
      </c>
      <c r="C523" s="20"/>
      <c r="D523" s="21" t="s">
        <v>1768</v>
      </c>
      <c r="E523" s="20"/>
      <c r="F523" s="23" t="s">
        <v>254</v>
      </c>
      <c r="H523" s="21" t="s">
        <v>364</v>
      </c>
      <c r="J523" s="21" t="s">
        <v>89</v>
      </c>
      <c r="L523" s="21" t="s">
        <v>737</v>
      </c>
      <c r="N523" s="21" t="s">
        <v>103</v>
      </c>
      <c r="P523" s="21" t="s">
        <v>1776</v>
      </c>
      <c r="R523" s="21" t="s">
        <v>77</v>
      </c>
      <c r="S523" s="20"/>
      <c r="T523" s="58" t="s">
        <v>1770</v>
      </c>
      <c r="V523" s="26" t="s">
        <v>79</v>
      </c>
      <c r="W523" s="60"/>
      <c r="X523" s="26" t="s">
        <v>80</v>
      </c>
      <c r="Y523" s="60"/>
      <c r="Z523" s="26" t="s">
        <v>79</v>
      </c>
      <c r="AA523" s="60"/>
      <c r="AB523" s="26" t="s">
        <v>80</v>
      </c>
      <c r="AC523" s="60"/>
      <c r="AD523" s="23" t="s">
        <v>1777</v>
      </c>
    </row>
    <row r="524" spans="2:30" ht="186.95">
      <c r="B524" s="21" t="s">
        <v>1145</v>
      </c>
      <c r="C524" s="20"/>
      <c r="D524" s="21" t="s">
        <v>1768</v>
      </c>
      <c r="E524" s="20"/>
      <c r="F524" s="23" t="s">
        <v>254</v>
      </c>
      <c r="H524" s="21" t="s">
        <v>364</v>
      </c>
      <c r="J524" s="21" t="s">
        <v>89</v>
      </c>
      <c r="L524" s="21" t="s">
        <v>737</v>
      </c>
      <c r="N524" s="21" t="s">
        <v>103</v>
      </c>
      <c r="P524" s="21" t="s">
        <v>1778</v>
      </c>
      <c r="R524" s="21" t="s">
        <v>77</v>
      </c>
      <c r="S524" s="20"/>
      <c r="T524" s="58" t="s">
        <v>1770</v>
      </c>
      <c r="V524" s="26" t="s">
        <v>79</v>
      </c>
      <c r="W524" s="60"/>
      <c r="X524" s="26" t="s">
        <v>80</v>
      </c>
      <c r="Y524" s="60"/>
      <c r="Z524" s="26" t="s">
        <v>79</v>
      </c>
      <c r="AA524" s="60"/>
      <c r="AB524" s="26" t="s">
        <v>80</v>
      </c>
      <c r="AC524" s="60"/>
      <c r="AD524" s="23" t="s">
        <v>1779</v>
      </c>
    </row>
    <row r="525" spans="2:30" ht="51">
      <c r="B525" s="21" t="s">
        <v>1148</v>
      </c>
      <c r="C525" s="20"/>
      <c r="D525" s="21" t="s">
        <v>1768</v>
      </c>
      <c r="E525" s="20"/>
      <c r="F525" s="23" t="s">
        <v>254</v>
      </c>
      <c r="H525" s="21" t="s">
        <v>364</v>
      </c>
      <c r="J525" s="21" t="s">
        <v>89</v>
      </c>
      <c r="L525" s="21" t="s">
        <v>737</v>
      </c>
      <c r="N525" s="21" t="s">
        <v>103</v>
      </c>
      <c r="P525" s="21" t="s">
        <v>1780</v>
      </c>
      <c r="R525" s="21" t="s">
        <v>77</v>
      </c>
      <c r="S525" s="20"/>
      <c r="T525" s="58" t="s">
        <v>1770</v>
      </c>
      <c r="V525" s="26" t="s">
        <v>79</v>
      </c>
      <c r="W525" s="60"/>
      <c r="X525" s="26" t="s">
        <v>80</v>
      </c>
      <c r="Y525" s="60"/>
      <c r="Z525" s="26" t="s">
        <v>79</v>
      </c>
      <c r="AA525" s="60"/>
      <c r="AB525" s="26" t="s">
        <v>80</v>
      </c>
      <c r="AC525" s="60"/>
      <c r="AD525" s="23" t="s">
        <v>1781</v>
      </c>
    </row>
    <row r="526" spans="2:30" ht="51">
      <c r="B526" s="21" t="s">
        <v>1130</v>
      </c>
      <c r="C526" s="20"/>
      <c r="D526" s="21" t="s">
        <v>1768</v>
      </c>
      <c r="E526" s="20"/>
      <c r="F526" s="23" t="s">
        <v>254</v>
      </c>
      <c r="H526" s="21" t="s">
        <v>291</v>
      </c>
      <c r="J526" s="21" t="s">
        <v>89</v>
      </c>
      <c r="L526" s="21" t="s">
        <v>737</v>
      </c>
      <c r="N526" s="21" t="s">
        <v>185</v>
      </c>
      <c r="P526" s="21" t="s">
        <v>1782</v>
      </c>
      <c r="R526" s="21" t="s">
        <v>77</v>
      </c>
      <c r="S526" s="20"/>
      <c r="T526" s="58" t="s">
        <v>1770</v>
      </c>
      <c r="V526" s="26" t="s">
        <v>79</v>
      </c>
      <c r="W526" s="60"/>
      <c r="X526" s="26" t="s">
        <v>80</v>
      </c>
      <c r="Y526" s="60"/>
      <c r="Z526" s="26" t="s">
        <v>79</v>
      </c>
      <c r="AA526" s="60"/>
      <c r="AB526" s="26" t="s">
        <v>80</v>
      </c>
      <c r="AC526" s="60"/>
      <c r="AD526" s="23" t="s">
        <v>1783</v>
      </c>
    </row>
    <row r="527" spans="2:30" ht="51">
      <c r="B527" s="21" t="s">
        <v>1153</v>
      </c>
      <c r="C527" s="20"/>
      <c r="D527" s="21" t="s">
        <v>1768</v>
      </c>
      <c r="E527" s="20"/>
      <c r="F527" s="23" t="s">
        <v>254</v>
      </c>
      <c r="H527" s="21" t="s">
        <v>291</v>
      </c>
      <c r="J527" s="21" t="s">
        <v>89</v>
      </c>
      <c r="L527" s="21" t="s">
        <v>737</v>
      </c>
      <c r="N527" s="21" t="s">
        <v>185</v>
      </c>
      <c r="P527" s="21" t="s">
        <v>1784</v>
      </c>
      <c r="R527" s="21" t="s">
        <v>77</v>
      </c>
      <c r="S527" s="20"/>
      <c r="T527" s="58" t="s">
        <v>1770</v>
      </c>
      <c r="V527" s="26" t="s">
        <v>79</v>
      </c>
      <c r="W527" s="60"/>
      <c r="X527" s="26" t="s">
        <v>80</v>
      </c>
      <c r="Y527" s="60"/>
      <c r="Z527" s="26" t="s">
        <v>79</v>
      </c>
      <c r="AA527" s="60"/>
      <c r="AB527" s="23" t="s">
        <v>753</v>
      </c>
      <c r="AC527" s="60"/>
      <c r="AD527" s="23" t="s">
        <v>1785</v>
      </c>
    </row>
    <row r="528" spans="2:30" ht="84.95">
      <c r="B528" s="21" t="s">
        <v>1156</v>
      </c>
      <c r="C528" s="20"/>
      <c r="D528" s="21" t="s">
        <v>1768</v>
      </c>
      <c r="E528" s="20"/>
      <c r="F528" s="23" t="s">
        <v>254</v>
      </c>
      <c r="H528" s="21" t="s">
        <v>291</v>
      </c>
      <c r="J528" s="21" t="s">
        <v>89</v>
      </c>
      <c r="L528" s="21" t="s">
        <v>737</v>
      </c>
      <c r="N528" s="21" t="s">
        <v>185</v>
      </c>
      <c r="P528" s="21" t="s">
        <v>1531</v>
      </c>
      <c r="R528" s="21" t="s">
        <v>77</v>
      </c>
      <c r="S528" s="20"/>
      <c r="T528" s="58" t="s">
        <v>1770</v>
      </c>
      <c r="V528" s="26" t="s">
        <v>79</v>
      </c>
      <c r="W528" s="60"/>
      <c r="X528" s="26" t="s">
        <v>80</v>
      </c>
      <c r="Y528" s="60"/>
      <c r="Z528" s="26" t="s">
        <v>79</v>
      </c>
      <c r="AA528" s="60"/>
      <c r="AB528" s="26" t="s">
        <v>80</v>
      </c>
      <c r="AC528" s="60"/>
      <c r="AD528" s="23" t="s">
        <v>1786</v>
      </c>
    </row>
    <row r="529" spans="2:30" ht="68.099999999999994">
      <c r="B529" s="21" t="s">
        <v>1787</v>
      </c>
      <c r="C529" s="20"/>
      <c r="D529" s="21" t="s">
        <v>1788</v>
      </c>
      <c r="E529" s="20"/>
      <c r="F529" s="23" t="s">
        <v>254</v>
      </c>
      <c r="H529" s="21" t="s">
        <v>262</v>
      </c>
      <c r="J529" s="21" t="s">
        <v>89</v>
      </c>
      <c r="L529" s="21" t="s">
        <v>737</v>
      </c>
      <c r="N529" s="21" t="s">
        <v>103</v>
      </c>
      <c r="P529" s="21" t="s">
        <v>1789</v>
      </c>
      <c r="R529" s="21" t="s">
        <v>77</v>
      </c>
      <c r="S529" s="20"/>
      <c r="T529" s="58" t="s">
        <v>1790</v>
      </c>
      <c r="V529" s="26" t="s">
        <v>79</v>
      </c>
      <c r="W529" s="60"/>
      <c r="X529" s="26" t="s">
        <v>80</v>
      </c>
      <c r="Y529" s="60"/>
      <c r="Z529" s="26" t="s">
        <v>79</v>
      </c>
      <c r="AA529" s="60"/>
      <c r="AB529" s="26" t="s">
        <v>80</v>
      </c>
      <c r="AD529" s="23" t="s">
        <v>1791</v>
      </c>
    </row>
    <row r="530" spans="2:30" ht="51">
      <c r="B530" s="21" t="s">
        <v>1120</v>
      </c>
      <c r="C530" s="20"/>
      <c r="D530" s="21" t="s">
        <v>1788</v>
      </c>
      <c r="E530" s="20"/>
      <c r="F530" s="23" t="s">
        <v>254</v>
      </c>
      <c r="H530" s="21" t="s">
        <v>364</v>
      </c>
      <c r="J530" s="21" t="s">
        <v>89</v>
      </c>
      <c r="L530" s="21" t="s">
        <v>737</v>
      </c>
      <c r="N530" s="21" t="s">
        <v>103</v>
      </c>
      <c r="P530" s="21" t="s">
        <v>1792</v>
      </c>
      <c r="R530" s="21" t="s">
        <v>77</v>
      </c>
      <c r="S530" s="20"/>
      <c r="T530" s="58" t="s">
        <v>1790</v>
      </c>
      <c r="U530" s="166"/>
      <c r="V530" s="26" t="s">
        <v>79</v>
      </c>
      <c r="W530" s="60"/>
      <c r="X530" s="26" t="s">
        <v>80</v>
      </c>
      <c r="Y530" s="60"/>
      <c r="Z530" s="26" t="s">
        <v>79</v>
      </c>
      <c r="AA530" s="60"/>
      <c r="AB530" s="26" t="s">
        <v>80</v>
      </c>
      <c r="AC530" s="60"/>
      <c r="AD530" s="106" t="s">
        <v>1793</v>
      </c>
    </row>
    <row r="531" spans="2:30" ht="51">
      <c r="B531" s="21" t="s">
        <v>1124</v>
      </c>
      <c r="C531" s="20"/>
      <c r="D531" s="21" t="s">
        <v>1788</v>
      </c>
      <c r="E531" s="20"/>
      <c r="F531" s="23" t="s">
        <v>254</v>
      </c>
      <c r="H531" s="21" t="s">
        <v>364</v>
      </c>
      <c r="J531" s="21" t="s">
        <v>89</v>
      </c>
      <c r="L531" s="21" t="s">
        <v>737</v>
      </c>
      <c r="N531" s="21" t="s">
        <v>103</v>
      </c>
      <c r="P531" s="21" t="s">
        <v>1620</v>
      </c>
      <c r="R531" s="21" t="s">
        <v>77</v>
      </c>
      <c r="S531" s="20"/>
      <c r="T531" s="58" t="s">
        <v>1790</v>
      </c>
      <c r="U531" s="166"/>
      <c r="V531" s="26" t="s">
        <v>79</v>
      </c>
      <c r="W531" s="60"/>
      <c r="X531" s="26" t="s">
        <v>80</v>
      </c>
      <c r="Y531" s="60"/>
      <c r="Z531" s="26" t="s">
        <v>79</v>
      </c>
      <c r="AA531" s="60"/>
      <c r="AB531" s="26" t="s">
        <v>80</v>
      </c>
      <c r="AC531" s="60"/>
      <c r="AD531" s="106" t="s">
        <v>1794</v>
      </c>
    </row>
    <row r="532" spans="2:30" ht="186.95">
      <c r="B532" s="21" t="s">
        <v>1145</v>
      </c>
      <c r="C532" s="20"/>
      <c r="D532" s="21" t="s">
        <v>1788</v>
      </c>
      <c r="E532" s="20"/>
      <c r="F532" s="23" t="s">
        <v>254</v>
      </c>
      <c r="H532" s="21" t="s">
        <v>364</v>
      </c>
      <c r="J532" s="21" t="s">
        <v>89</v>
      </c>
      <c r="L532" s="21" t="s">
        <v>737</v>
      </c>
      <c r="N532" s="21" t="s">
        <v>185</v>
      </c>
      <c r="P532" s="21" t="s">
        <v>1795</v>
      </c>
      <c r="R532" s="21" t="s">
        <v>77</v>
      </c>
      <c r="S532" s="20"/>
      <c r="T532" s="58" t="s">
        <v>1790</v>
      </c>
      <c r="V532" s="26" t="s">
        <v>79</v>
      </c>
      <c r="W532" s="60"/>
      <c r="X532" s="26" t="s">
        <v>80</v>
      </c>
      <c r="Y532" s="60"/>
      <c r="Z532" s="26" t="s">
        <v>79</v>
      </c>
      <c r="AA532" s="60"/>
      <c r="AB532" s="26" t="s">
        <v>80</v>
      </c>
      <c r="AC532" s="60"/>
      <c r="AD532" s="23" t="s">
        <v>1796</v>
      </c>
    </row>
    <row r="533" spans="2:30" ht="51">
      <c r="B533" s="21" t="s">
        <v>1148</v>
      </c>
      <c r="C533" s="20"/>
      <c r="D533" s="21" t="s">
        <v>1788</v>
      </c>
      <c r="E533" s="20"/>
      <c r="F533" s="23" t="s">
        <v>254</v>
      </c>
      <c r="H533" s="21" t="s">
        <v>364</v>
      </c>
      <c r="J533" s="21" t="s">
        <v>89</v>
      </c>
      <c r="L533" s="21" t="s">
        <v>737</v>
      </c>
      <c r="N533" s="21" t="s">
        <v>185</v>
      </c>
      <c r="P533" s="21" t="s">
        <v>1797</v>
      </c>
      <c r="R533" s="21" t="s">
        <v>77</v>
      </c>
      <c r="S533" s="20"/>
      <c r="T533" s="58" t="s">
        <v>1790</v>
      </c>
      <c r="V533" s="26" t="s">
        <v>79</v>
      </c>
      <c r="W533" s="60"/>
      <c r="X533" s="26" t="s">
        <v>80</v>
      </c>
      <c r="Y533" s="60"/>
      <c r="Z533" s="26" t="s">
        <v>79</v>
      </c>
      <c r="AA533" s="60"/>
      <c r="AB533" s="26" t="s">
        <v>80</v>
      </c>
      <c r="AC533" s="60"/>
      <c r="AD533" s="23" t="s">
        <v>1798</v>
      </c>
    </row>
    <row r="534" spans="2:30" ht="51">
      <c r="B534" s="21" t="s">
        <v>1130</v>
      </c>
      <c r="C534" s="20"/>
      <c r="D534" s="21" t="s">
        <v>1788</v>
      </c>
      <c r="E534" s="20"/>
      <c r="F534" s="23" t="s">
        <v>254</v>
      </c>
      <c r="H534" s="21" t="s">
        <v>291</v>
      </c>
      <c r="J534" s="21" t="s">
        <v>89</v>
      </c>
      <c r="L534" s="21" t="s">
        <v>737</v>
      </c>
      <c r="N534" s="21" t="s">
        <v>185</v>
      </c>
      <c r="P534" s="21" t="s">
        <v>1799</v>
      </c>
      <c r="R534" s="21" t="s">
        <v>77</v>
      </c>
      <c r="S534" s="20"/>
      <c r="T534" s="58" t="s">
        <v>1790</v>
      </c>
      <c r="V534" s="26" t="s">
        <v>79</v>
      </c>
      <c r="W534" s="60"/>
      <c r="X534" s="26" t="s">
        <v>80</v>
      </c>
      <c r="Y534" s="60"/>
      <c r="Z534" s="26" t="s">
        <v>79</v>
      </c>
      <c r="AA534" s="60"/>
      <c r="AB534" s="26" t="s">
        <v>80</v>
      </c>
      <c r="AC534" s="60"/>
      <c r="AD534" s="23" t="s">
        <v>1800</v>
      </c>
    </row>
    <row r="535" spans="2:30" ht="51">
      <c r="B535" s="21" t="s">
        <v>1153</v>
      </c>
      <c r="C535" s="20"/>
      <c r="D535" s="21" t="s">
        <v>1788</v>
      </c>
      <c r="E535" s="20"/>
      <c r="F535" s="23" t="s">
        <v>254</v>
      </c>
      <c r="H535" s="21" t="s">
        <v>291</v>
      </c>
      <c r="J535" s="21" t="s">
        <v>89</v>
      </c>
      <c r="L535" s="21" t="s">
        <v>737</v>
      </c>
      <c r="N535" s="21" t="s">
        <v>185</v>
      </c>
      <c r="P535" s="21" t="s">
        <v>1801</v>
      </c>
      <c r="R535" s="21" t="s">
        <v>77</v>
      </c>
      <c r="S535" s="20"/>
      <c r="T535" s="58" t="s">
        <v>1790</v>
      </c>
      <c r="V535" s="26" t="s">
        <v>79</v>
      </c>
      <c r="W535" s="60"/>
      <c r="X535" s="26" t="s">
        <v>80</v>
      </c>
      <c r="Y535" s="60"/>
      <c r="Z535" s="26" t="s">
        <v>79</v>
      </c>
      <c r="AA535" s="60"/>
      <c r="AB535" s="23" t="s">
        <v>753</v>
      </c>
      <c r="AC535" s="60"/>
      <c r="AD535" s="23" t="s">
        <v>1802</v>
      </c>
    </row>
    <row r="536" spans="2:30" ht="84.95">
      <c r="B536" s="21" t="s">
        <v>1156</v>
      </c>
      <c r="C536" s="20"/>
      <c r="D536" s="21" t="s">
        <v>1788</v>
      </c>
      <c r="E536" s="20"/>
      <c r="F536" s="23" t="s">
        <v>254</v>
      </c>
      <c r="H536" s="21" t="s">
        <v>291</v>
      </c>
      <c r="J536" s="21" t="s">
        <v>89</v>
      </c>
      <c r="L536" s="21" t="s">
        <v>737</v>
      </c>
      <c r="N536" s="21" t="s">
        <v>185</v>
      </c>
      <c r="P536" s="21" t="s">
        <v>1531</v>
      </c>
      <c r="R536" s="21" t="s">
        <v>77</v>
      </c>
      <c r="S536" s="20"/>
      <c r="T536" s="58" t="s">
        <v>1790</v>
      </c>
      <c r="V536" s="26" t="s">
        <v>79</v>
      </c>
      <c r="W536" s="60"/>
      <c r="X536" s="26" t="s">
        <v>80</v>
      </c>
      <c r="Y536" s="60"/>
      <c r="Z536" s="26" t="s">
        <v>79</v>
      </c>
      <c r="AA536" s="60"/>
      <c r="AB536" s="26" t="s">
        <v>80</v>
      </c>
      <c r="AC536" s="60"/>
      <c r="AD536" s="23" t="s">
        <v>1803</v>
      </c>
    </row>
    <row r="537" spans="2:30" ht="68.099999999999994">
      <c r="B537" s="21" t="s">
        <v>1804</v>
      </c>
      <c r="C537" s="20"/>
      <c r="D537" s="21" t="s">
        <v>1805</v>
      </c>
      <c r="E537" s="20"/>
      <c r="F537" s="23" t="s">
        <v>254</v>
      </c>
      <c r="H537" s="21" t="s">
        <v>262</v>
      </c>
      <c r="J537" s="21" t="s">
        <v>89</v>
      </c>
      <c r="L537" s="21" t="s">
        <v>737</v>
      </c>
      <c r="N537" s="21" t="s">
        <v>103</v>
      </c>
      <c r="P537" s="21" t="s">
        <v>1806</v>
      </c>
      <c r="R537" s="21" t="s">
        <v>77</v>
      </c>
      <c r="S537" s="20"/>
      <c r="T537" s="58" t="s">
        <v>1807</v>
      </c>
      <c r="V537" s="26" t="s">
        <v>79</v>
      </c>
      <c r="W537" s="60"/>
      <c r="X537" s="26" t="s">
        <v>80</v>
      </c>
      <c r="Y537" s="60"/>
      <c r="Z537" s="26" t="s">
        <v>79</v>
      </c>
      <c r="AA537" s="60"/>
      <c r="AB537" s="26" t="s">
        <v>80</v>
      </c>
      <c r="AD537" s="23" t="s">
        <v>1808</v>
      </c>
    </row>
    <row r="538" spans="2:30" ht="51">
      <c r="B538" s="21" t="s">
        <v>1120</v>
      </c>
      <c r="C538" s="20"/>
      <c r="D538" s="21" t="s">
        <v>1805</v>
      </c>
      <c r="E538" s="20"/>
      <c r="F538" s="23" t="s">
        <v>254</v>
      </c>
      <c r="H538" s="21" t="s">
        <v>364</v>
      </c>
      <c r="J538" s="21" t="s">
        <v>89</v>
      </c>
      <c r="L538" s="21" t="s">
        <v>737</v>
      </c>
      <c r="N538" s="21" t="s">
        <v>103</v>
      </c>
      <c r="P538" s="21" t="s">
        <v>1809</v>
      </c>
      <c r="R538" s="21" t="s">
        <v>77</v>
      </c>
      <c r="S538" s="20"/>
      <c r="T538" s="58" t="s">
        <v>1807</v>
      </c>
      <c r="U538" s="166"/>
      <c r="V538" s="26" t="s">
        <v>79</v>
      </c>
      <c r="W538" s="60"/>
      <c r="X538" s="26" t="s">
        <v>80</v>
      </c>
      <c r="Y538" s="60"/>
      <c r="Z538" s="26" t="s">
        <v>79</v>
      </c>
      <c r="AA538" s="60"/>
      <c r="AB538" s="26" t="s">
        <v>80</v>
      </c>
      <c r="AC538" s="60"/>
      <c r="AD538" s="106" t="s">
        <v>1810</v>
      </c>
    </row>
    <row r="539" spans="2:30" ht="51">
      <c r="B539" s="21" t="s">
        <v>1124</v>
      </c>
      <c r="C539" s="20"/>
      <c r="D539" s="21" t="s">
        <v>1805</v>
      </c>
      <c r="E539" s="20"/>
      <c r="F539" s="23" t="s">
        <v>254</v>
      </c>
      <c r="H539" s="21" t="s">
        <v>364</v>
      </c>
      <c r="J539" s="21" t="s">
        <v>89</v>
      </c>
      <c r="L539" s="21" t="s">
        <v>737</v>
      </c>
      <c r="N539" s="21" t="s">
        <v>103</v>
      </c>
      <c r="P539" s="21" t="s">
        <v>1811</v>
      </c>
      <c r="R539" s="21" t="s">
        <v>77</v>
      </c>
      <c r="S539" s="20"/>
      <c r="T539" s="58" t="s">
        <v>1807</v>
      </c>
      <c r="U539" s="166"/>
      <c r="V539" s="26" t="s">
        <v>79</v>
      </c>
      <c r="W539" s="60"/>
      <c r="X539" s="26" t="s">
        <v>80</v>
      </c>
      <c r="Y539" s="60"/>
      <c r="Z539" s="26" t="s">
        <v>79</v>
      </c>
      <c r="AA539" s="60"/>
      <c r="AB539" s="26" t="s">
        <v>80</v>
      </c>
      <c r="AC539" s="60"/>
      <c r="AD539" s="106" t="s">
        <v>1812</v>
      </c>
    </row>
    <row r="540" spans="2:30" ht="204">
      <c r="B540" s="21" t="s">
        <v>1145</v>
      </c>
      <c r="C540" s="20"/>
      <c r="D540" s="21" t="s">
        <v>1805</v>
      </c>
      <c r="E540" s="20"/>
      <c r="F540" s="23" t="s">
        <v>254</v>
      </c>
      <c r="H540" s="21" t="s">
        <v>364</v>
      </c>
      <c r="J540" s="21" t="s">
        <v>89</v>
      </c>
      <c r="L540" s="21" t="s">
        <v>737</v>
      </c>
      <c r="N540" s="21" t="s">
        <v>185</v>
      </c>
      <c r="P540" s="21" t="s">
        <v>1813</v>
      </c>
      <c r="R540" s="21" t="s">
        <v>77</v>
      </c>
      <c r="S540" s="20"/>
      <c r="T540" s="58" t="s">
        <v>1807</v>
      </c>
      <c r="U540" s="166"/>
      <c r="V540" s="26" t="s">
        <v>79</v>
      </c>
      <c r="W540" s="60"/>
      <c r="X540" s="26" t="s">
        <v>80</v>
      </c>
      <c r="Y540" s="60"/>
      <c r="Z540" s="26" t="s">
        <v>79</v>
      </c>
      <c r="AA540" s="60"/>
      <c r="AB540" s="26" t="s">
        <v>80</v>
      </c>
      <c r="AC540" s="60"/>
      <c r="AD540" s="106" t="s">
        <v>1814</v>
      </c>
    </row>
    <row r="541" spans="2:30" ht="51">
      <c r="B541" s="21" t="s">
        <v>1148</v>
      </c>
      <c r="C541" s="20"/>
      <c r="D541" s="21" t="s">
        <v>1805</v>
      </c>
      <c r="E541" s="20"/>
      <c r="F541" s="23" t="s">
        <v>254</v>
      </c>
      <c r="H541" s="21" t="s">
        <v>364</v>
      </c>
      <c r="J541" s="21" t="s">
        <v>89</v>
      </c>
      <c r="L541" s="21" t="s">
        <v>737</v>
      </c>
      <c r="N541" s="21" t="s">
        <v>185</v>
      </c>
      <c r="P541" s="21" t="s">
        <v>1815</v>
      </c>
      <c r="R541" s="21" t="s">
        <v>77</v>
      </c>
      <c r="S541" s="20"/>
      <c r="T541" s="58" t="s">
        <v>1807</v>
      </c>
      <c r="U541" s="166"/>
      <c r="V541" s="26" t="s">
        <v>79</v>
      </c>
      <c r="W541" s="60"/>
      <c r="X541" s="26" t="s">
        <v>80</v>
      </c>
      <c r="Y541" s="60"/>
      <c r="Z541" s="26" t="s">
        <v>79</v>
      </c>
      <c r="AA541" s="60"/>
      <c r="AB541" s="26" t="s">
        <v>80</v>
      </c>
      <c r="AC541" s="60"/>
      <c r="AD541" s="106" t="s">
        <v>1816</v>
      </c>
    </row>
    <row r="542" spans="2:30" ht="51">
      <c r="B542" s="21" t="s">
        <v>1130</v>
      </c>
      <c r="C542" s="20"/>
      <c r="D542" s="21" t="s">
        <v>1805</v>
      </c>
      <c r="E542" s="20"/>
      <c r="F542" s="23" t="s">
        <v>254</v>
      </c>
      <c r="H542" s="21" t="s">
        <v>291</v>
      </c>
      <c r="J542" s="21" t="s">
        <v>89</v>
      </c>
      <c r="L542" s="21" t="s">
        <v>737</v>
      </c>
      <c r="N542" s="21" t="s">
        <v>185</v>
      </c>
      <c r="P542" s="21" t="s">
        <v>1817</v>
      </c>
      <c r="R542" s="21" t="s">
        <v>77</v>
      </c>
      <c r="S542" s="20"/>
      <c r="T542" s="58" t="s">
        <v>1807</v>
      </c>
      <c r="U542" s="166"/>
      <c r="V542" s="26" t="s">
        <v>79</v>
      </c>
      <c r="W542" s="60"/>
      <c r="X542" s="26" t="s">
        <v>80</v>
      </c>
      <c r="Y542" s="60"/>
      <c r="Z542" s="26" t="s">
        <v>79</v>
      </c>
      <c r="AA542" s="60"/>
      <c r="AB542" s="26" t="s">
        <v>80</v>
      </c>
      <c r="AC542" s="60"/>
      <c r="AD542" s="106" t="s">
        <v>1818</v>
      </c>
    </row>
    <row r="543" spans="2:30" ht="51">
      <c r="B543" s="21" t="s">
        <v>1153</v>
      </c>
      <c r="C543" s="20"/>
      <c r="D543" s="21" t="s">
        <v>1805</v>
      </c>
      <c r="E543" s="20"/>
      <c r="F543" s="23" t="s">
        <v>254</v>
      </c>
      <c r="H543" s="21" t="s">
        <v>291</v>
      </c>
      <c r="J543" s="21" t="s">
        <v>89</v>
      </c>
      <c r="L543" s="21" t="s">
        <v>737</v>
      </c>
      <c r="N543" s="21" t="s">
        <v>185</v>
      </c>
      <c r="P543" s="21" t="s">
        <v>1819</v>
      </c>
      <c r="R543" s="21" t="s">
        <v>77</v>
      </c>
      <c r="S543" s="20"/>
      <c r="T543" s="58" t="s">
        <v>1807</v>
      </c>
      <c r="U543" s="166"/>
      <c r="V543" s="26" t="s">
        <v>79</v>
      </c>
      <c r="W543" s="60"/>
      <c r="X543" s="26" t="s">
        <v>80</v>
      </c>
      <c r="Y543" s="60"/>
      <c r="Z543" s="26" t="s">
        <v>79</v>
      </c>
      <c r="AA543" s="60"/>
      <c r="AB543" s="23" t="s">
        <v>753</v>
      </c>
      <c r="AC543" s="60"/>
      <c r="AD543" s="106" t="s">
        <v>1820</v>
      </c>
    </row>
    <row r="544" spans="2:30" ht="84.95">
      <c r="B544" s="21" t="s">
        <v>1156</v>
      </c>
      <c r="C544" s="20"/>
      <c r="D544" s="21" t="s">
        <v>1805</v>
      </c>
      <c r="E544" s="20"/>
      <c r="F544" s="23" t="s">
        <v>254</v>
      </c>
      <c r="H544" s="21" t="s">
        <v>291</v>
      </c>
      <c r="J544" s="21" t="s">
        <v>89</v>
      </c>
      <c r="L544" s="21" t="s">
        <v>737</v>
      </c>
      <c r="N544" s="21" t="s">
        <v>185</v>
      </c>
      <c r="P544" s="21" t="s">
        <v>1531</v>
      </c>
      <c r="R544" s="21" t="s">
        <v>77</v>
      </c>
      <c r="S544" s="20"/>
      <c r="T544" s="58" t="s">
        <v>1807</v>
      </c>
      <c r="U544" s="166"/>
      <c r="V544" s="26" t="s">
        <v>79</v>
      </c>
      <c r="W544" s="60"/>
      <c r="X544" s="26" t="s">
        <v>80</v>
      </c>
      <c r="Y544" s="60"/>
      <c r="Z544" s="26" t="s">
        <v>79</v>
      </c>
      <c r="AA544" s="60"/>
      <c r="AB544" s="26" t="s">
        <v>80</v>
      </c>
      <c r="AC544" s="60"/>
      <c r="AD544" s="106" t="s">
        <v>1821</v>
      </c>
    </row>
    <row r="545" spans="2:30" ht="51">
      <c r="B545" s="21" t="s">
        <v>1822</v>
      </c>
      <c r="C545" s="20"/>
      <c r="D545" s="21" t="s">
        <v>1823</v>
      </c>
      <c r="E545" s="20"/>
      <c r="F545" s="23" t="s">
        <v>254</v>
      </c>
      <c r="H545" s="21" t="s">
        <v>262</v>
      </c>
      <c r="J545" s="21" t="s">
        <v>89</v>
      </c>
      <c r="L545" s="21" t="s">
        <v>737</v>
      </c>
      <c r="N545" s="21" t="s">
        <v>103</v>
      </c>
      <c r="P545" s="21" t="s">
        <v>1824</v>
      </c>
      <c r="R545" s="21" t="s">
        <v>77</v>
      </c>
      <c r="S545" s="20"/>
      <c r="T545" s="58" t="s">
        <v>1825</v>
      </c>
      <c r="V545" s="26" t="s">
        <v>79</v>
      </c>
      <c r="W545" s="60"/>
      <c r="X545" s="26" t="s">
        <v>80</v>
      </c>
      <c r="Y545" s="60"/>
      <c r="Z545" s="26" t="s">
        <v>79</v>
      </c>
      <c r="AA545" s="60"/>
      <c r="AB545" s="26" t="s">
        <v>80</v>
      </c>
      <c r="AD545" s="23" t="s">
        <v>1826</v>
      </c>
    </row>
    <row r="546" spans="2:30" ht="51">
      <c r="B546" s="21" t="s">
        <v>1120</v>
      </c>
      <c r="C546" s="20"/>
      <c r="D546" s="21" t="s">
        <v>1823</v>
      </c>
      <c r="E546" s="20"/>
      <c r="F546" s="23" t="s">
        <v>254</v>
      </c>
      <c r="H546" s="21" t="s">
        <v>364</v>
      </c>
      <c r="J546" s="21" t="s">
        <v>89</v>
      </c>
      <c r="L546" s="21" t="s">
        <v>737</v>
      </c>
      <c r="N546" s="21" t="s">
        <v>103</v>
      </c>
      <c r="P546" s="21" t="s">
        <v>1827</v>
      </c>
      <c r="R546" s="21" t="s">
        <v>77</v>
      </c>
      <c r="S546" s="20"/>
      <c r="T546" s="58" t="s">
        <v>1825</v>
      </c>
      <c r="V546" s="26" t="s">
        <v>79</v>
      </c>
      <c r="W546" s="60"/>
      <c r="X546" s="26" t="s">
        <v>80</v>
      </c>
      <c r="Y546" s="60"/>
      <c r="Z546" s="26" t="s">
        <v>79</v>
      </c>
      <c r="AA546" s="60"/>
      <c r="AB546" s="26" t="s">
        <v>80</v>
      </c>
      <c r="AC546" s="60"/>
      <c r="AD546" s="23" t="s">
        <v>1828</v>
      </c>
    </row>
    <row r="547" spans="2:30" ht="51">
      <c r="B547" s="21" t="s">
        <v>1199</v>
      </c>
      <c r="C547" s="20"/>
      <c r="D547" s="21" t="s">
        <v>1823</v>
      </c>
      <c r="E547" s="20"/>
      <c r="F547" s="23" t="s">
        <v>254</v>
      </c>
      <c r="H547" s="21" t="s">
        <v>298</v>
      </c>
      <c r="J547" s="21" t="s">
        <v>89</v>
      </c>
      <c r="L547" s="21" t="s">
        <v>737</v>
      </c>
      <c r="N547" s="21" t="s">
        <v>103</v>
      </c>
      <c r="P547" s="21" t="s">
        <v>1829</v>
      </c>
      <c r="R547" s="21" t="s">
        <v>77</v>
      </c>
      <c r="S547" s="20"/>
      <c r="T547" s="58" t="s">
        <v>1825</v>
      </c>
      <c r="V547" s="26" t="s">
        <v>79</v>
      </c>
      <c r="W547" s="60"/>
      <c r="X547" s="26" t="s">
        <v>80</v>
      </c>
      <c r="Y547" s="60"/>
      <c r="Z547" s="26" t="s">
        <v>79</v>
      </c>
      <c r="AA547" s="60"/>
      <c r="AB547" s="26" t="s">
        <v>80</v>
      </c>
      <c r="AC547" s="60"/>
      <c r="AD547" s="23" t="s">
        <v>1830</v>
      </c>
    </row>
    <row r="548" spans="2:30" ht="186.95">
      <c r="B548" s="21" t="s">
        <v>1145</v>
      </c>
      <c r="C548" s="20"/>
      <c r="D548" s="21" t="s">
        <v>1823</v>
      </c>
      <c r="E548" s="20"/>
      <c r="F548" s="23" t="s">
        <v>254</v>
      </c>
      <c r="H548" s="21" t="s">
        <v>364</v>
      </c>
      <c r="J548" s="21" t="s">
        <v>89</v>
      </c>
      <c r="L548" s="21" t="s">
        <v>737</v>
      </c>
      <c r="N548" s="21" t="s">
        <v>185</v>
      </c>
      <c r="P548" s="21" t="s">
        <v>1831</v>
      </c>
      <c r="R548" s="21" t="s">
        <v>77</v>
      </c>
      <c r="S548" s="20"/>
      <c r="T548" s="58" t="s">
        <v>1825</v>
      </c>
      <c r="V548" s="26" t="s">
        <v>79</v>
      </c>
      <c r="W548" s="60"/>
      <c r="X548" s="26" t="s">
        <v>80</v>
      </c>
      <c r="Y548" s="60"/>
      <c r="Z548" s="26" t="s">
        <v>79</v>
      </c>
      <c r="AA548" s="60"/>
      <c r="AB548" s="26" t="s">
        <v>80</v>
      </c>
      <c r="AC548" s="60"/>
      <c r="AD548" s="23" t="s">
        <v>1832</v>
      </c>
    </row>
    <row r="549" spans="2:30" ht="51">
      <c r="B549" s="21" t="s">
        <v>1130</v>
      </c>
      <c r="C549" s="20"/>
      <c r="D549" s="21" t="s">
        <v>1823</v>
      </c>
      <c r="E549" s="20"/>
      <c r="F549" s="23" t="s">
        <v>254</v>
      </c>
      <c r="H549" s="21" t="s">
        <v>291</v>
      </c>
      <c r="J549" s="21" t="s">
        <v>89</v>
      </c>
      <c r="L549" s="21" t="s">
        <v>737</v>
      </c>
      <c r="N549" s="21" t="s">
        <v>185</v>
      </c>
      <c r="P549" s="21" t="s">
        <v>1833</v>
      </c>
      <c r="R549" s="21" t="s">
        <v>77</v>
      </c>
      <c r="S549" s="20"/>
      <c r="T549" s="58" t="s">
        <v>1825</v>
      </c>
      <c r="V549" s="26" t="s">
        <v>79</v>
      </c>
      <c r="W549" s="60"/>
      <c r="X549" s="26" t="s">
        <v>80</v>
      </c>
      <c r="Y549" s="60"/>
      <c r="Z549" s="26" t="s">
        <v>79</v>
      </c>
      <c r="AA549" s="60"/>
      <c r="AB549" s="26" t="s">
        <v>80</v>
      </c>
      <c r="AC549" s="60"/>
      <c r="AD549" s="23" t="s">
        <v>1834</v>
      </c>
    </row>
    <row r="550" spans="2:30" ht="51">
      <c r="B550" s="21" t="s">
        <v>1153</v>
      </c>
      <c r="C550" s="20"/>
      <c r="D550" s="21" t="s">
        <v>1823</v>
      </c>
      <c r="E550" s="20"/>
      <c r="F550" s="23" t="s">
        <v>254</v>
      </c>
      <c r="H550" s="21" t="s">
        <v>291</v>
      </c>
      <c r="J550" s="21" t="s">
        <v>89</v>
      </c>
      <c r="L550" s="21" t="s">
        <v>737</v>
      </c>
      <c r="N550" s="21" t="s">
        <v>185</v>
      </c>
      <c r="P550" s="21" t="s">
        <v>1835</v>
      </c>
      <c r="R550" s="21" t="s">
        <v>77</v>
      </c>
      <c r="S550" s="20"/>
      <c r="T550" s="58" t="s">
        <v>1825</v>
      </c>
      <c r="V550" s="26" t="s">
        <v>79</v>
      </c>
      <c r="W550" s="60"/>
      <c r="X550" s="26" t="s">
        <v>80</v>
      </c>
      <c r="Y550" s="60"/>
      <c r="Z550" s="26" t="s">
        <v>79</v>
      </c>
      <c r="AA550" s="60"/>
      <c r="AB550" s="23" t="s">
        <v>753</v>
      </c>
      <c r="AC550" s="60"/>
      <c r="AD550" s="23" t="s">
        <v>1836</v>
      </c>
    </row>
    <row r="551" spans="2:30" ht="84.95">
      <c r="B551" s="21" t="s">
        <v>1156</v>
      </c>
      <c r="C551" s="20"/>
      <c r="D551" s="21" t="s">
        <v>1823</v>
      </c>
      <c r="E551" s="20"/>
      <c r="F551" s="23" t="s">
        <v>254</v>
      </c>
      <c r="H551" s="21" t="s">
        <v>291</v>
      </c>
      <c r="J551" s="21" t="s">
        <v>89</v>
      </c>
      <c r="L551" s="21" t="s">
        <v>737</v>
      </c>
      <c r="N551" s="21" t="s">
        <v>185</v>
      </c>
      <c r="P551" s="21" t="s">
        <v>1531</v>
      </c>
      <c r="R551" s="21" t="s">
        <v>77</v>
      </c>
      <c r="S551" s="20"/>
      <c r="T551" s="58" t="s">
        <v>1825</v>
      </c>
      <c r="V551" s="26" t="s">
        <v>79</v>
      </c>
      <c r="W551" s="60"/>
      <c r="X551" s="26" t="s">
        <v>80</v>
      </c>
      <c r="Y551" s="60"/>
      <c r="Z551" s="26" t="s">
        <v>79</v>
      </c>
      <c r="AA551" s="60"/>
      <c r="AB551" s="26" t="s">
        <v>80</v>
      </c>
      <c r="AC551" s="60"/>
      <c r="AD551" s="23" t="s">
        <v>1837</v>
      </c>
    </row>
    <row r="552" spans="2:30" ht="68.099999999999994">
      <c r="B552" s="21" t="s">
        <v>1838</v>
      </c>
      <c r="C552" s="20"/>
      <c r="D552" s="21" t="s">
        <v>1839</v>
      </c>
      <c r="E552" s="20"/>
      <c r="F552" s="23" t="s">
        <v>254</v>
      </c>
      <c r="H552" s="21" t="s">
        <v>262</v>
      </c>
      <c r="J552" s="21" t="s">
        <v>89</v>
      </c>
      <c r="L552" s="21" t="s">
        <v>737</v>
      </c>
      <c r="N552" s="21" t="s">
        <v>103</v>
      </c>
      <c r="P552" s="21" t="s">
        <v>1840</v>
      </c>
      <c r="R552" s="21" t="s">
        <v>77</v>
      </c>
      <c r="S552" s="20"/>
      <c r="T552" s="58" t="s">
        <v>1841</v>
      </c>
      <c r="V552" s="26" t="s">
        <v>79</v>
      </c>
      <c r="W552" s="60"/>
      <c r="X552" s="26" t="s">
        <v>80</v>
      </c>
      <c r="Y552" s="60"/>
      <c r="Z552" s="26" t="s">
        <v>79</v>
      </c>
      <c r="AA552" s="60"/>
      <c r="AB552" s="26" t="s">
        <v>80</v>
      </c>
      <c r="AD552" s="23" t="s">
        <v>1842</v>
      </c>
    </row>
    <row r="553" spans="2:30" ht="51">
      <c r="B553" s="21" t="s">
        <v>1120</v>
      </c>
      <c r="C553" s="20"/>
      <c r="D553" s="21" t="s">
        <v>1839</v>
      </c>
      <c r="E553" s="20"/>
      <c r="F553" s="23" t="s">
        <v>254</v>
      </c>
      <c r="H553" s="21" t="s">
        <v>364</v>
      </c>
      <c r="J553" s="21" t="s">
        <v>89</v>
      </c>
      <c r="L553" s="21" t="s">
        <v>737</v>
      </c>
      <c r="N553" s="21" t="s">
        <v>103</v>
      </c>
      <c r="P553" s="21" t="s">
        <v>1843</v>
      </c>
      <c r="R553" s="21" t="s">
        <v>77</v>
      </c>
      <c r="S553" s="20"/>
      <c r="T553" s="58" t="s">
        <v>1841</v>
      </c>
      <c r="V553" s="26" t="s">
        <v>79</v>
      </c>
      <c r="W553" s="60"/>
      <c r="X553" s="26" t="s">
        <v>80</v>
      </c>
      <c r="Y553" s="60"/>
      <c r="Z553" s="26" t="s">
        <v>79</v>
      </c>
      <c r="AA553" s="60"/>
      <c r="AB553" s="26" t="s">
        <v>80</v>
      </c>
      <c r="AC553" s="60"/>
      <c r="AD553" s="23" t="s">
        <v>1844</v>
      </c>
    </row>
    <row r="554" spans="2:30" ht="51">
      <c r="B554" s="21" t="s">
        <v>1124</v>
      </c>
      <c r="C554" s="20"/>
      <c r="D554" s="21" t="s">
        <v>1839</v>
      </c>
      <c r="E554" s="20"/>
      <c r="F554" s="23" t="s">
        <v>254</v>
      </c>
      <c r="H554" s="21" t="s">
        <v>364</v>
      </c>
      <c r="J554" s="21" t="s">
        <v>89</v>
      </c>
      <c r="L554" s="21" t="s">
        <v>737</v>
      </c>
      <c r="N554" s="21" t="s">
        <v>103</v>
      </c>
      <c r="P554" s="21" t="s">
        <v>1845</v>
      </c>
      <c r="R554" s="21" t="s">
        <v>77</v>
      </c>
      <c r="S554" s="20"/>
      <c r="T554" s="58" t="s">
        <v>1841</v>
      </c>
      <c r="V554" s="26" t="s">
        <v>79</v>
      </c>
      <c r="W554" s="60"/>
      <c r="X554" s="26" t="s">
        <v>80</v>
      </c>
      <c r="Y554" s="60"/>
      <c r="Z554" s="26" t="s">
        <v>79</v>
      </c>
      <c r="AA554" s="60"/>
      <c r="AB554" s="26" t="s">
        <v>80</v>
      </c>
      <c r="AC554" s="60"/>
      <c r="AD554" s="23" t="s">
        <v>1846</v>
      </c>
    </row>
    <row r="555" spans="2:30" ht="186.95">
      <c r="B555" s="21" t="s">
        <v>1145</v>
      </c>
      <c r="C555" s="20"/>
      <c r="D555" s="21" t="s">
        <v>1839</v>
      </c>
      <c r="E555" s="20"/>
      <c r="F555" s="23" t="s">
        <v>254</v>
      </c>
      <c r="H555" s="21" t="s">
        <v>364</v>
      </c>
      <c r="J555" s="21" t="s">
        <v>89</v>
      </c>
      <c r="L555" s="21" t="s">
        <v>737</v>
      </c>
      <c r="N555" s="21" t="s">
        <v>185</v>
      </c>
      <c r="P555" s="21" t="s">
        <v>1847</v>
      </c>
      <c r="R555" s="21" t="s">
        <v>77</v>
      </c>
      <c r="S555" s="20"/>
      <c r="T555" s="58" t="s">
        <v>1841</v>
      </c>
      <c r="V555" s="26" t="s">
        <v>79</v>
      </c>
      <c r="W555" s="60"/>
      <c r="X555" s="26" t="s">
        <v>80</v>
      </c>
      <c r="Y555" s="60"/>
      <c r="Z555" s="26" t="s">
        <v>79</v>
      </c>
      <c r="AA555" s="60"/>
      <c r="AB555" s="26" t="s">
        <v>80</v>
      </c>
      <c r="AC555" s="60"/>
      <c r="AD555" s="23" t="s">
        <v>1848</v>
      </c>
    </row>
    <row r="556" spans="2:30" ht="51">
      <c r="B556" s="21" t="s">
        <v>1148</v>
      </c>
      <c r="C556" s="20"/>
      <c r="D556" s="21" t="s">
        <v>1839</v>
      </c>
      <c r="E556" s="20"/>
      <c r="F556" s="23" t="s">
        <v>254</v>
      </c>
      <c r="H556" s="21" t="s">
        <v>364</v>
      </c>
      <c r="J556" s="21" t="s">
        <v>89</v>
      </c>
      <c r="L556" s="21" t="s">
        <v>737</v>
      </c>
      <c r="N556" s="21" t="s">
        <v>185</v>
      </c>
      <c r="P556" s="21" t="s">
        <v>1849</v>
      </c>
      <c r="R556" s="21" t="s">
        <v>77</v>
      </c>
      <c r="S556" s="20"/>
      <c r="T556" s="58" t="s">
        <v>1841</v>
      </c>
      <c r="V556" s="26" t="s">
        <v>79</v>
      </c>
      <c r="W556" s="60"/>
      <c r="X556" s="26" t="s">
        <v>80</v>
      </c>
      <c r="Y556" s="60"/>
      <c r="Z556" s="26" t="s">
        <v>79</v>
      </c>
      <c r="AA556" s="60"/>
      <c r="AB556" s="26" t="s">
        <v>80</v>
      </c>
      <c r="AC556" s="60"/>
      <c r="AD556" s="23" t="s">
        <v>1850</v>
      </c>
    </row>
    <row r="557" spans="2:30" ht="51">
      <c r="B557" s="21" t="s">
        <v>1130</v>
      </c>
      <c r="C557" s="20"/>
      <c r="D557" s="21" t="s">
        <v>1839</v>
      </c>
      <c r="E557" s="20"/>
      <c r="F557" s="23" t="s">
        <v>254</v>
      </c>
      <c r="H557" s="21" t="s">
        <v>291</v>
      </c>
      <c r="J557" s="21" t="s">
        <v>89</v>
      </c>
      <c r="L557" s="21" t="s">
        <v>737</v>
      </c>
      <c r="N557" s="21" t="s">
        <v>185</v>
      </c>
      <c r="P557" s="21" t="s">
        <v>1851</v>
      </c>
      <c r="R557" s="21" t="s">
        <v>77</v>
      </c>
      <c r="S557" s="20"/>
      <c r="T557" s="58" t="s">
        <v>1841</v>
      </c>
      <c r="V557" s="26" t="s">
        <v>79</v>
      </c>
      <c r="W557" s="60"/>
      <c r="X557" s="26" t="s">
        <v>80</v>
      </c>
      <c r="Y557" s="60"/>
      <c r="Z557" s="26" t="s">
        <v>79</v>
      </c>
      <c r="AA557" s="60"/>
      <c r="AB557" s="26" t="s">
        <v>80</v>
      </c>
      <c r="AC557" s="60"/>
      <c r="AD557" s="23" t="s">
        <v>1852</v>
      </c>
    </row>
    <row r="558" spans="2:30" ht="51">
      <c r="B558" s="21" t="s">
        <v>1153</v>
      </c>
      <c r="C558" s="20"/>
      <c r="D558" s="21" t="s">
        <v>1839</v>
      </c>
      <c r="E558" s="20"/>
      <c r="F558" s="23" t="s">
        <v>254</v>
      </c>
      <c r="H558" s="21" t="s">
        <v>291</v>
      </c>
      <c r="J558" s="21" t="s">
        <v>89</v>
      </c>
      <c r="L558" s="21" t="s">
        <v>737</v>
      </c>
      <c r="N558" s="21" t="s">
        <v>185</v>
      </c>
      <c r="P558" s="21" t="s">
        <v>1853</v>
      </c>
      <c r="R558" s="21" t="s">
        <v>77</v>
      </c>
      <c r="S558" s="20"/>
      <c r="T558" s="58" t="s">
        <v>1841</v>
      </c>
      <c r="V558" s="26" t="s">
        <v>79</v>
      </c>
      <c r="W558" s="60"/>
      <c r="X558" s="26" t="s">
        <v>80</v>
      </c>
      <c r="Y558" s="60"/>
      <c r="Z558" s="26" t="s">
        <v>79</v>
      </c>
      <c r="AA558" s="60"/>
      <c r="AB558" s="23" t="s">
        <v>753</v>
      </c>
      <c r="AC558" s="60"/>
      <c r="AD558" s="23" t="s">
        <v>1854</v>
      </c>
    </row>
    <row r="559" spans="2:30" ht="84.95">
      <c r="B559" s="21" t="s">
        <v>1156</v>
      </c>
      <c r="C559" s="20"/>
      <c r="D559" s="21" t="s">
        <v>1839</v>
      </c>
      <c r="E559" s="20"/>
      <c r="F559" s="23" t="s">
        <v>254</v>
      </c>
      <c r="H559" s="21" t="s">
        <v>291</v>
      </c>
      <c r="J559" s="21" t="s">
        <v>89</v>
      </c>
      <c r="L559" s="21" t="s">
        <v>737</v>
      </c>
      <c r="N559" s="21" t="s">
        <v>185</v>
      </c>
      <c r="P559" s="21" t="s">
        <v>1531</v>
      </c>
      <c r="R559" s="21" t="s">
        <v>77</v>
      </c>
      <c r="S559" s="20"/>
      <c r="T559" s="58" t="s">
        <v>1841</v>
      </c>
      <c r="V559" s="26" t="s">
        <v>79</v>
      </c>
      <c r="W559" s="60"/>
      <c r="X559" s="26" t="s">
        <v>80</v>
      </c>
      <c r="Y559" s="60"/>
      <c r="Z559" s="26" t="s">
        <v>79</v>
      </c>
      <c r="AA559" s="60"/>
      <c r="AB559" s="26" t="s">
        <v>80</v>
      </c>
      <c r="AC559" s="60"/>
      <c r="AD559" s="23" t="s">
        <v>1855</v>
      </c>
    </row>
    <row r="560" spans="2:30" ht="68.099999999999994">
      <c r="B560" s="21" t="s">
        <v>1856</v>
      </c>
      <c r="C560" s="20"/>
      <c r="D560" s="21" t="s">
        <v>1857</v>
      </c>
      <c r="E560" s="20"/>
      <c r="F560" s="23" t="s">
        <v>254</v>
      </c>
      <c r="H560" s="21" t="s">
        <v>262</v>
      </c>
      <c r="J560" s="21" t="s">
        <v>89</v>
      </c>
      <c r="L560" s="21" t="s">
        <v>737</v>
      </c>
      <c r="N560" s="21" t="s">
        <v>103</v>
      </c>
      <c r="P560" s="21" t="s">
        <v>1858</v>
      </c>
      <c r="R560" s="21" t="s">
        <v>77</v>
      </c>
      <c r="S560" s="20"/>
      <c r="T560" s="58" t="s">
        <v>1859</v>
      </c>
      <c r="V560" s="26" t="s">
        <v>79</v>
      </c>
      <c r="W560" s="60"/>
      <c r="X560" s="26" t="s">
        <v>80</v>
      </c>
      <c r="Y560" s="60"/>
      <c r="Z560" s="26" t="s">
        <v>79</v>
      </c>
      <c r="AA560" s="60"/>
      <c r="AB560" s="26" t="s">
        <v>80</v>
      </c>
      <c r="AD560" s="23" t="s">
        <v>1860</v>
      </c>
    </row>
    <row r="561" spans="2:30" ht="51">
      <c r="B561" s="21" t="s">
        <v>1120</v>
      </c>
      <c r="C561" s="20"/>
      <c r="D561" s="21" t="s">
        <v>1857</v>
      </c>
      <c r="E561" s="20"/>
      <c r="F561" s="23" t="s">
        <v>254</v>
      </c>
      <c r="H561" s="21" t="s">
        <v>364</v>
      </c>
      <c r="J561" s="21" t="s">
        <v>89</v>
      </c>
      <c r="L561" s="21" t="s">
        <v>737</v>
      </c>
      <c r="N561" s="21" t="s">
        <v>103</v>
      </c>
      <c r="P561" s="21" t="s">
        <v>1861</v>
      </c>
      <c r="R561" s="21" t="s">
        <v>77</v>
      </c>
      <c r="S561" s="20"/>
      <c r="T561" s="58" t="s">
        <v>1859</v>
      </c>
      <c r="V561" s="26" t="s">
        <v>79</v>
      </c>
      <c r="W561" s="60"/>
      <c r="X561" s="26" t="s">
        <v>80</v>
      </c>
      <c r="Y561" s="60"/>
      <c r="Z561" s="26" t="s">
        <v>79</v>
      </c>
      <c r="AA561" s="60"/>
      <c r="AB561" s="26" t="s">
        <v>80</v>
      </c>
      <c r="AC561" s="60"/>
      <c r="AD561" s="23" t="s">
        <v>1862</v>
      </c>
    </row>
    <row r="562" spans="2:30" ht="51">
      <c r="B562" s="21" t="s">
        <v>1124</v>
      </c>
      <c r="C562" s="20"/>
      <c r="D562" s="21" t="s">
        <v>1857</v>
      </c>
      <c r="E562" s="20"/>
      <c r="F562" s="23" t="s">
        <v>254</v>
      </c>
      <c r="H562" s="21" t="s">
        <v>364</v>
      </c>
      <c r="J562" s="21" t="s">
        <v>89</v>
      </c>
      <c r="L562" s="21" t="s">
        <v>737</v>
      </c>
      <c r="N562" s="21" t="s">
        <v>103</v>
      </c>
      <c r="P562" s="21" t="s">
        <v>1863</v>
      </c>
      <c r="R562" s="21" t="s">
        <v>77</v>
      </c>
      <c r="S562" s="20"/>
      <c r="T562" s="58" t="s">
        <v>1859</v>
      </c>
      <c r="V562" s="26" t="s">
        <v>79</v>
      </c>
      <c r="W562" s="60"/>
      <c r="X562" s="26" t="s">
        <v>80</v>
      </c>
      <c r="Y562" s="60"/>
      <c r="Z562" s="26" t="s">
        <v>79</v>
      </c>
      <c r="AA562" s="60"/>
      <c r="AB562" s="26" t="s">
        <v>80</v>
      </c>
      <c r="AC562" s="60"/>
      <c r="AD562" s="23" t="s">
        <v>1864</v>
      </c>
    </row>
    <row r="563" spans="2:30" ht="186.95">
      <c r="B563" s="21" t="s">
        <v>1145</v>
      </c>
      <c r="C563" s="20"/>
      <c r="D563" s="21" t="s">
        <v>1857</v>
      </c>
      <c r="E563" s="20"/>
      <c r="F563" s="23" t="s">
        <v>254</v>
      </c>
      <c r="H563" s="21" t="s">
        <v>364</v>
      </c>
      <c r="J563" s="21" t="s">
        <v>89</v>
      </c>
      <c r="L563" s="21" t="s">
        <v>737</v>
      </c>
      <c r="N563" s="21" t="s">
        <v>185</v>
      </c>
      <c r="P563" s="21" t="s">
        <v>1865</v>
      </c>
      <c r="R563" s="21" t="s">
        <v>77</v>
      </c>
      <c r="S563" s="20"/>
      <c r="T563" s="58" t="s">
        <v>1859</v>
      </c>
      <c r="V563" s="26" t="s">
        <v>79</v>
      </c>
      <c r="W563" s="60"/>
      <c r="X563" s="26" t="s">
        <v>80</v>
      </c>
      <c r="Y563" s="60"/>
      <c r="Z563" s="26" t="s">
        <v>79</v>
      </c>
      <c r="AA563" s="60"/>
      <c r="AB563" s="26" t="s">
        <v>80</v>
      </c>
      <c r="AC563" s="60"/>
      <c r="AD563" s="23" t="s">
        <v>1866</v>
      </c>
    </row>
    <row r="564" spans="2:30" ht="51">
      <c r="B564" s="21" t="s">
        <v>1148</v>
      </c>
      <c r="C564" s="20"/>
      <c r="D564" s="21" t="s">
        <v>1857</v>
      </c>
      <c r="E564" s="20"/>
      <c r="F564" s="23" t="s">
        <v>254</v>
      </c>
      <c r="H564" s="21" t="s">
        <v>364</v>
      </c>
      <c r="J564" s="21" t="s">
        <v>89</v>
      </c>
      <c r="L564" s="21" t="s">
        <v>737</v>
      </c>
      <c r="N564" s="21" t="s">
        <v>185</v>
      </c>
      <c r="P564" s="21" t="s">
        <v>1867</v>
      </c>
      <c r="R564" s="21" t="s">
        <v>77</v>
      </c>
      <c r="S564" s="20"/>
      <c r="T564" s="58" t="s">
        <v>1859</v>
      </c>
      <c r="V564" s="26" t="s">
        <v>79</v>
      </c>
      <c r="W564" s="60"/>
      <c r="X564" s="26" t="s">
        <v>80</v>
      </c>
      <c r="Y564" s="60"/>
      <c r="Z564" s="26" t="s">
        <v>79</v>
      </c>
      <c r="AA564" s="60"/>
      <c r="AB564" s="26" t="s">
        <v>80</v>
      </c>
      <c r="AC564" s="60"/>
      <c r="AD564" s="23" t="s">
        <v>1868</v>
      </c>
    </row>
    <row r="565" spans="2:30" ht="51">
      <c r="B565" s="21" t="s">
        <v>1130</v>
      </c>
      <c r="C565" s="20"/>
      <c r="D565" s="21" t="s">
        <v>1857</v>
      </c>
      <c r="E565" s="20"/>
      <c r="F565" s="23" t="s">
        <v>254</v>
      </c>
      <c r="H565" s="21" t="s">
        <v>291</v>
      </c>
      <c r="J565" s="21" t="s">
        <v>89</v>
      </c>
      <c r="L565" s="21" t="s">
        <v>737</v>
      </c>
      <c r="N565" s="21" t="s">
        <v>185</v>
      </c>
      <c r="P565" s="21" t="s">
        <v>1869</v>
      </c>
      <c r="R565" s="21" t="s">
        <v>77</v>
      </c>
      <c r="S565" s="20"/>
      <c r="T565" s="58" t="s">
        <v>1859</v>
      </c>
      <c r="V565" s="26" t="s">
        <v>79</v>
      </c>
      <c r="W565" s="60"/>
      <c r="X565" s="26" t="s">
        <v>80</v>
      </c>
      <c r="Y565" s="60"/>
      <c r="Z565" s="26" t="s">
        <v>79</v>
      </c>
      <c r="AA565" s="60"/>
      <c r="AB565" s="26" t="s">
        <v>80</v>
      </c>
      <c r="AC565" s="60"/>
      <c r="AD565" s="23" t="s">
        <v>1870</v>
      </c>
    </row>
    <row r="566" spans="2:30" ht="51">
      <c r="B566" s="21" t="s">
        <v>1153</v>
      </c>
      <c r="C566" s="20"/>
      <c r="D566" s="21" t="s">
        <v>1857</v>
      </c>
      <c r="E566" s="20"/>
      <c r="F566" s="23" t="s">
        <v>254</v>
      </c>
      <c r="H566" s="21" t="s">
        <v>291</v>
      </c>
      <c r="J566" s="21" t="s">
        <v>89</v>
      </c>
      <c r="L566" s="21" t="s">
        <v>737</v>
      </c>
      <c r="N566" s="21" t="s">
        <v>185</v>
      </c>
      <c r="P566" s="21" t="s">
        <v>1871</v>
      </c>
      <c r="R566" s="21" t="s">
        <v>77</v>
      </c>
      <c r="S566" s="20"/>
      <c r="T566" s="58" t="s">
        <v>1859</v>
      </c>
      <c r="V566" s="26" t="s">
        <v>79</v>
      </c>
      <c r="W566" s="60"/>
      <c r="X566" s="26" t="s">
        <v>80</v>
      </c>
      <c r="Y566" s="60"/>
      <c r="Z566" s="26" t="s">
        <v>79</v>
      </c>
      <c r="AA566" s="60"/>
      <c r="AB566" s="23" t="s">
        <v>753</v>
      </c>
      <c r="AC566" s="60"/>
      <c r="AD566" s="23" t="s">
        <v>1872</v>
      </c>
    </row>
    <row r="567" spans="2:30" ht="84.95">
      <c r="B567" s="21" t="s">
        <v>1156</v>
      </c>
      <c r="C567" s="20"/>
      <c r="D567" s="21" t="s">
        <v>1857</v>
      </c>
      <c r="E567" s="20"/>
      <c r="F567" s="23" t="s">
        <v>254</v>
      </c>
      <c r="H567" s="21" t="s">
        <v>291</v>
      </c>
      <c r="J567" s="21" t="s">
        <v>89</v>
      </c>
      <c r="L567" s="21" t="s">
        <v>737</v>
      </c>
      <c r="N567" s="21" t="s">
        <v>185</v>
      </c>
      <c r="P567" s="21" t="s">
        <v>1531</v>
      </c>
      <c r="R567" s="21" t="s">
        <v>77</v>
      </c>
      <c r="S567" s="20"/>
      <c r="T567" s="58" t="s">
        <v>1859</v>
      </c>
      <c r="V567" s="26" t="s">
        <v>79</v>
      </c>
      <c r="W567" s="60"/>
      <c r="X567" s="26" t="s">
        <v>80</v>
      </c>
      <c r="Y567" s="60"/>
      <c r="Z567" s="26" t="s">
        <v>79</v>
      </c>
      <c r="AA567" s="60"/>
      <c r="AB567" s="26" t="s">
        <v>80</v>
      </c>
      <c r="AC567" s="60"/>
      <c r="AD567" s="23" t="s">
        <v>1873</v>
      </c>
    </row>
    <row r="568" spans="2:30" ht="68.099999999999994">
      <c r="B568" s="21" t="s">
        <v>1874</v>
      </c>
      <c r="C568" s="20"/>
      <c r="D568" s="21" t="s">
        <v>1875</v>
      </c>
      <c r="E568" s="20"/>
      <c r="F568" s="23" t="s">
        <v>254</v>
      </c>
      <c r="H568" s="21" t="s">
        <v>262</v>
      </c>
      <c r="J568" s="21" t="s">
        <v>89</v>
      </c>
      <c r="L568" s="21" t="s">
        <v>737</v>
      </c>
      <c r="N568" s="21" t="s">
        <v>103</v>
      </c>
      <c r="P568" s="21" t="s">
        <v>1876</v>
      </c>
      <c r="R568" s="21" t="s">
        <v>77</v>
      </c>
      <c r="S568" s="20"/>
      <c r="T568" s="58" t="s">
        <v>1877</v>
      </c>
      <c r="V568" s="26" t="s">
        <v>79</v>
      </c>
      <c r="W568" s="60"/>
      <c r="X568" s="26" t="s">
        <v>80</v>
      </c>
      <c r="Y568" s="60"/>
      <c r="Z568" s="26" t="s">
        <v>79</v>
      </c>
      <c r="AA568" s="60"/>
      <c r="AB568" s="26" t="s">
        <v>80</v>
      </c>
      <c r="AD568" s="23" t="s">
        <v>1878</v>
      </c>
    </row>
    <row r="569" spans="2:30" ht="51">
      <c r="B569" s="21" t="s">
        <v>1120</v>
      </c>
      <c r="C569" s="20"/>
      <c r="D569" s="21" t="s">
        <v>1875</v>
      </c>
      <c r="E569" s="20"/>
      <c r="F569" s="23" t="s">
        <v>254</v>
      </c>
      <c r="H569" s="21" t="s">
        <v>364</v>
      </c>
      <c r="J569" s="21" t="s">
        <v>89</v>
      </c>
      <c r="L569" s="21" t="s">
        <v>737</v>
      </c>
      <c r="N569" s="21" t="s">
        <v>103</v>
      </c>
      <c r="P569" s="21" t="s">
        <v>1879</v>
      </c>
      <c r="R569" s="21" t="s">
        <v>77</v>
      </c>
      <c r="S569" s="20"/>
      <c r="T569" s="58" t="s">
        <v>1877</v>
      </c>
      <c r="V569" s="26" t="s">
        <v>79</v>
      </c>
      <c r="W569" s="60"/>
      <c r="X569" s="26" t="s">
        <v>80</v>
      </c>
      <c r="Y569" s="60"/>
      <c r="Z569" s="26" t="s">
        <v>79</v>
      </c>
      <c r="AA569" s="60"/>
      <c r="AB569" s="26" t="s">
        <v>80</v>
      </c>
      <c r="AC569" s="60"/>
      <c r="AD569" s="23" t="s">
        <v>1880</v>
      </c>
    </row>
    <row r="570" spans="2:30" ht="51">
      <c r="B570" s="21" t="s">
        <v>1124</v>
      </c>
      <c r="C570" s="20"/>
      <c r="D570" s="21" t="s">
        <v>1875</v>
      </c>
      <c r="E570" s="20"/>
      <c r="F570" s="23" t="s">
        <v>254</v>
      </c>
      <c r="H570" s="21" t="s">
        <v>364</v>
      </c>
      <c r="J570" s="21" t="s">
        <v>89</v>
      </c>
      <c r="L570" s="21" t="s">
        <v>737</v>
      </c>
      <c r="N570" s="21" t="s">
        <v>103</v>
      </c>
      <c r="P570" s="21" t="s">
        <v>1881</v>
      </c>
      <c r="R570" s="21" t="s">
        <v>77</v>
      </c>
      <c r="S570" s="20"/>
      <c r="T570" s="58" t="s">
        <v>1877</v>
      </c>
      <c r="V570" s="26" t="s">
        <v>79</v>
      </c>
      <c r="W570" s="60"/>
      <c r="X570" s="26" t="s">
        <v>80</v>
      </c>
      <c r="Y570" s="60"/>
      <c r="Z570" s="26" t="s">
        <v>79</v>
      </c>
      <c r="AA570" s="60"/>
      <c r="AB570" s="26" t="s">
        <v>80</v>
      </c>
      <c r="AC570" s="60"/>
      <c r="AD570" s="23" t="s">
        <v>1882</v>
      </c>
    </row>
    <row r="571" spans="2:30" ht="186.95">
      <c r="B571" s="21" t="s">
        <v>1145</v>
      </c>
      <c r="C571" s="20"/>
      <c r="D571" s="21" t="s">
        <v>1875</v>
      </c>
      <c r="E571" s="20"/>
      <c r="F571" s="23" t="s">
        <v>254</v>
      </c>
      <c r="H571" s="21" t="s">
        <v>364</v>
      </c>
      <c r="J571" s="21" t="s">
        <v>89</v>
      </c>
      <c r="L571" s="21" t="s">
        <v>737</v>
      </c>
      <c r="N571" s="21" t="s">
        <v>185</v>
      </c>
      <c r="P571" s="21" t="s">
        <v>1883</v>
      </c>
      <c r="R571" s="21" t="s">
        <v>77</v>
      </c>
      <c r="S571" s="20"/>
      <c r="T571" s="58" t="s">
        <v>1877</v>
      </c>
      <c r="V571" s="26" t="s">
        <v>79</v>
      </c>
      <c r="W571" s="60"/>
      <c r="X571" s="26" t="s">
        <v>80</v>
      </c>
      <c r="Y571" s="60"/>
      <c r="Z571" s="26" t="s">
        <v>79</v>
      </c>
      <c r="AA571" s="60"/>
      <c r="AB571" s="26" t="s">
        <v>80</v>
      </c>
      <c r="AC571" s="60"/>
      <c r="AD571" s="23" t="s">
        <v>1884</v>
      </c>
    </row>
    <row r="572" spans="2:30" ht="51">
      <c r="B572" s="21" t="s">
        <v>1148</v>
      </c>
      <c r="C572" s="20"/>
      <c r="D572" s="21" t="s">
        <v>1875</v>
      </c>
      <c r="E572" s="20"/>
      <c r="F572" s="23" t="s">
        <v>254</v>
      </c>
      <c r="H572" s="21" t="s">
        <v>364</v>
      </c>
      <c r="J572" s="21" t="s">
        <v>89</v>
      </c>
      <c r="L572" s="21" t="s">
        <v>737</v>
      </c>
      <c r="N572" s="21" t="s">
        <v>185</v>
      </c>
      <c r="P572" s="21" t="s">
        <v>1885</v>
      </c>
      <c r="R572" s="21" t="s">
        <v>77</v>
      </c>
      <c r="S572" s="20"/>
      <c r="T572" s="58" t="s">
        <v>1877</v>
      </c>
      <c r="V572" s="26" t="s">
        <v>79</v>
      </c>
      <c r="W572" s="60"/>
      <c r="X572" s="26" t="s">
        <v>80</v>
      </c>
      <c r="Y572" s="60"/>
      <c r="Z572" s="26" t="s">
        <v>79</v>
      </c>
      <c r="AA572" s="60"/>
      <c r="AB572" s="26" t="s">
        <v>80</v>
      </c>
      <c r="AC572" s="60"/>
      <c r="AD572" s="23" t="s">
        <v>1886</v>
      </c>
    </row>
    <row r="573" spans="2:30" ht="68.099999999999994">
      <c r="B573" s="21" t="s">
        <v>1130</v>
      </c>
      <c r="C573" s="20"/>
      <c r="D573" s="21" t="s">
        <v>1875</v>
      </c>
      <c r="E573" s="20"/>
      <c r="F573" s="23" t="s">
        <v>254</v>
      </c>
      <c r="H573" s="21" t="s">
        <v>291</v>
      </c>
      <c r="J573" s="21" t="s">
        <v>89</v>
      </c>
      <c r="L573" s="21" t="s">
        <v>737</v>
      </c>
      <c r="N573" s="21" t="s">
        <v>185</v>
      </c>
      <c r="P573" s="21" t="s">
        <v>1887</v>
      </c>
      <c r="R573" s="21" t="s">
        <v>77</v>
      </c>
      <c r="S573" s="20"/>
      <c r="T573" s="58" t="s">
        <v>1877</v>
      </c>
      <c r="V573" s="26" t="s">
        <v>79</v>
      </c>
      <c r="W573" s="60"/>
      <c r="X573" s="26" t="s">
        <v>80</v>
      </c>
      <c r="Y573" s="60"/>
      <c r="Z573" s="26" t="s">
        <v>79</v>
      </c>
      <c r="AA573" s="60"/>
      <c r="AB573" s="26" t="s">
        <v>80</v>
      </c>
      <c r="AC573" s="60"/>
      <c r="AD573" s="23" t="s">
        <v>1888</v>
      </c>
    </row>
    <row r="574" spans="2:30" ht="51">
      <c r="B574" s="21" t="s">
        <v>1153</v>
      </c>
      <c r="C574" s="20"/>
      <c r="D574" s="21" t="s">
        <v>1875</v>
      </c>
      <c r="E574" s="20"/>
      <c r="F574" s="23" t="s">
        <v>254</v>
      </c>
      <c r="H574" s="21" t="s">
        <v>291</v>
      </c>
      <c r="J574" s="21" t="s">
        <v>89</v>
      </c>
      <c r="L574" s="21" t="s">
        <v>737</v>
      </c>
      <c r="N574" s="21" t="s">
        <v>185</v>
      </c>
      <c r="P574" s="21" t="s">
        <v>1889</v>
      </c>
      <c r="R574" s="21" t="s">
        <v>77</v>
      </c>
      <c r="S574" s="20"/>
      <c r="T574" s="58" t="s">
        <v>1877</v>
      </c>
      <c r="V574" s="26" t="s">
        <v>79</v>
      </c>
      <c r="W574" s="60"/>
      <c r="X574" s="26" t="s">
        <v>80</v>
      </c>
      <c r="Y574" s="60"/>
      <c r="Z574" s="26" t="s">
        <v>79</v>
      </c>
      <c r="AA574" s="60"/>
      <c r="AB574" s="23" t="s">
        <v>753</v>
      </c>
      <c r="AC574" s="60"/>
      <c r="AD574" s="23" t="s">
        <v>1890</v>
      </c>
    </row>
    <row r="575" spans="2:30" ht="84.95">
      <c r="B575" s="21" t="s">
        <v>1156</v>
      </c>
      <c r="C575" s="20"/>
      <c r="D575" s="21" t="s">
        <v>1875</v>
      </c>
      <c r="E575" s="20"/>
      <c r="F575" s="23" t="s">
        <v>254</v>
      </c>
      <c r="H575" s="21" t="s">
        <v>291</v>
      </c>
      <c r="J575" s="21" t="s">
        <v>89</v>
      </c>
      <c r="L575" s="21" t="s">
        <v>737</v>
      </c>
      <c r="N575" s="21" t="s">
        <v>185</v>
      </c>
      <c r="P575" s="21" t="s">
        <v>1531</v>
      </c>
      <c r="R575" s="21" t="s">
        <v>77</v>
      </c>
      <c r="S575" s="20"/>
      <c r="T575" s="58" t="s">
        <v>1877</v>
      </c>
      <c r="V575" s="26" t="s">
        <v>79</v>
      </c>
      <c r="W575" s="60"/>
      <c r="X575" s="26" t="s">
        <v>80</v>
      </c>
      <c r="Y575" s="60"/>
      <c r="Z575" s="26" t="s">
        <v>79</v>
      </c>
      <c r="AA575" s="60"/>
      <c r="AB575" s="26" t="s">
        <v>80</v>
      </c>
      <c r="AC575" s="60"/>
      <c r="AD575" s="23" t="s">
        <v>1891</v>
      </c>
    </row>
    <row r="576" spans="2:30" ht="51">
      <c r="B576" s="21" t="s">
        <v>1892</v>
      </c>
      <c r="C576" s="20"/>
      <c r="D576" s="21" t="s">
        <v>1893</v>
      </c>
      <c r="E576" s="20"/>
      <c r="F576" s="23" t="s">
        <v>254</v>
      </c>
      <c r="H576" s="21" t="s">
        <v>262</v>
      </c>
      <c r="J576" s="21" t="s">
        <v>89</v>
      </c>
      <c r="L576" s="21" t="s">
        <v>737</v>
      </c>
      <c r="N576" s="21" t="s">
        <v>103</v>
      </c>
      <c r="P576" s="21" t="s">
        <v>1894</v>
      </c>
      <c r="R576" s="21" t="s">
        <v>77</v>
      </c>
      <c r="S576" s="20"/>
      <c r="T576" s="58" t="s">
        <v>1895</v>
      </c>
      <c r="V576" s="26" t="s">
        <v>79</v>
      </c>
      <c r="W576" s="60"/>
      <c r="X576" s="26" t="s">
        <v>80</v>
      </c>
      <c r="Y576" s="60"/>
      <c r="Z576" s="26" t="s">
        <v>79</v>
      </c>
      <c r="AA576" s="60"/>
      <c r="AB576" s="26" t="s">
        <v>80</v>
      </c>
      <c r="AD576" s="23" t="s">
        <v>1896</v>
      </c>
    </row>
    <row r="577" spans="2:30" ht="51">
      <c r="B577" s="21" t="s">
        <v>1120</v>
      </c>
      <c r="C577" s="20"/>
      <c r="D577" s="21" t="s">
        <v>1893</v>
      </c>
      <c r="E577" s="20"/>
      <c r="F577" s="23" t="s">
        <v>254</v>
      </c>
      <c r="H577" s="21" t="s">
        <v>364</v>
      </c>
      <c r="J577" s="21" t="s">
        <v>89</v>
      </c>
      <c r="L577" s="21" t="s">
        <v>737</v>
      </c>
      <c r="N577" s="21" t="s">
        <v>103</v>
      </c>
      <c r="P577" s="21" t="s">
        <v>1897</v>
      </c>
      <c r="R577" s="21" t="s">
        <v>77</v>
      </c>
      <c r="S577" s="20"/>
      <c r="T577" s="58" t="s">
        <v>1895</v>
      </c>
      <c r="V577" s="26" t="s">
        <v>79</v>
      </c>
      <c r="W577" s="60"/>
      <c r="X577" s="26" t="s">
        <v>80</v>
      </c>
      <c r="Y577" s="60"/>
      <c r="Z577" s="26" t="s">
        <v>79</v>
      </c>
      <c r="AA577" s="60"/>
      <c r="AB577" s="26" t="s">
        <v>80</v>
      </c>
      <c r="AC577" s="60"/>
      <c r="AD577" s="23" t="s">
        <v>1898</v>
      </c>
    </row>
    <row r="578" spans="2:30" ht="51">
      <c r="B578" s="21" t="s">
        <v>1124</v>
      </c>
      <c r="C578" s="20"/>
      <c r="D578" s="21" t="s">
        <v>1893</v>
      </c>
      <c r="E578" s="20"/>
      <c r="F578" s="23" t="s">
        <v>254</v>
      </c>
      <c r="H578" s="21" t="s">
        <v>364</v>
      </c>
      <c r="J578" s="21" t="s">
        <v>89</v>
      </c>
      <c r="L578" s="21" t="s">
        <v>737</v>
      </c>
      <c r="N578" s="21" t="s">
        <v>103</v>
      </c>
      <c r="P578" s="21" t="s">
        <v>1620</v>
      </c>
      <c r="R578" s="21" t="s">
        <v>77</v>
      </c>
      <c r="S578" s="20"/>
      <c r="T578" s="58" t="s">
        <v>1895</v>
      </c>
      <c r="V578" s="26" t="s">
        <v>79</v>
      </c>
      <c r="W578" s="60"/>
      <c r="X578" s="26" t="s">
        <v>80</v>
      </c>
      <c r="Y578" s="60"/>
      <c r="Z578" s="26" t="s">
        <v>79</v>
      </c>
      <c r="AA578" s="60"/>
      <c r="AB578" s="26" t="s">
        <v>80</v>
      </c>
      <c r="AC578" s="60"/>
      <c r="AD578" s="23" t="s">
        <v>1899</v>
      </c>
    </row>
    <row r="579" spans="2:30" ht="119.1">
      <c r="B579" s="21" t="s">
        <v>1145</v>
      </c>
      <c r="C579" s="20"/>
      <c r="D579" s="21" t="s">
        <v>1893</v>
      </c>
      <c r="E579" s="20"/>
      <c r="F579" s="23" t="s">
        <v>254</v>
      </c>
      <c r="H579" s="21" t="s">
        <v>364</v>
      </c>
      <c r="J579" s="21" t="s">
        <v>89</v>
      </c>
      <c r="L579" s="21" t="s">
        <v>737</v>
      </c>
      <c r="N579" s="21" t="s">
        <v>185</v>
      </c>
      <c r="P579" s="21" t="s">
        <v>1900</v>
      </c>
      <c r="R579" s="21" t="s">
        <v>77</v>
      </c>
      <c r="S579" s="20"/>
      <c r="T579" s="58" t="s">
        <v>1895</v>
      </c>
      <c r="V579" s="26" t="s">
        <v>79</v>
      </c>
      <c r="W579" s="60"/>
      <c r="X579" s="26" t="s">
        <v>80</v>
      </c>
      <c r="Y579" s="60"/>
      <c r="Z579" s="26" t="s">
        <v>79</v>
      </c>
      <c r="AA579" s="60"/>
      <c r="AB579" s="26" t="s">
        <v>80</v>
      </c>
      <c r="AC579" s="60"/>
      <c r="AD579" s="23" t="s">
        <v>1901</v>
      </c>
    </row>
    <row r="580" spans="2:30" ht="51">
      <c r="B580" s="21" t="s">
        <v>1148</v>
      </c>
      <c r="C580" s="20"/>
      <c r="D580" s="21" t="s">
        <v>1893</v>
      </c>
      <c r="E580" s="20"/>
      <c r="F580" s="23" t="s">
        <v>254</v>
      </c>
      <c r="H580" s="21" t="s">
        <v>364</v>
      </c>
      <c r="J580" s="21" t="s">
        <v>89</v>
      </c>
      <c r="L580" s="21" t="s">
        <v>737</v>
      </c>
      <c r="N580" s="21" t="s">
        <v>185</v>
      </c>
      <c r="P580" s="21" t="s">
        <v>1902</v>
      </c>
      <c r="R580" s="21" t="s">
        <v>77</v>
      </c>
      <c r="S580" s="20"/>
      <c r="T580" s="58" t="s">
        <v>1895</v>
      </c>
      <c r="V580" s="26" t="s">
        <v>79</v>
      </c>
      <c r="W580" s="60"/>
      <c r="X580" s="26" t="s">
        <v>80</v>
      </c>
      <c r="Y580" s="60"/>
      <c r="Z580" s="26" t="s">
        <v>79</v>
      </c>
      <c r="AA580" s="60"/>
      <c r="AB580" s="26" t="s">
        <v>80</v>
      </c>
      <c r="AC580" s="60"/>
      <c r="AD580" s="23" t="s">
        <v>1903</v>
      </c>
    </row>
    <row r="581" spans="2:30" ht="51">
      <c r="B581" s="21" t="s">
        <v>1130</v>
      </c>
      <c r="C581" s="20"/>
      <c r="D581" s="21" t="s">
        <v>1893</v>
      </c>
      <c r="E581" s="20"/>
      <c r="F581" s="23" t="s">
        <v>254</v>
      </c>
      <c r="H581" s="21" t="s">
        <v>291</v>
      </c>
      <c r="J581" s="21" t="s">
        <v>89</v>
      </c>
      <c r="L581" s="21" t="s">
        <v>737</v>
      </c>
      <c r="N581" s="21" t="s">
        <v>185</v>
      </c>
      <c r="P581" s="21" t="s">
        <v>1904</v>
      </c>
      <c r="R581" s="21" t="s">
        <v>77</v>
      </c>
      <c r="S581" s="20"/>
      <c r="T581" s="58" t="s">
        <v>1895</v>
      </c>
      <c r="V581" s="26" t="s">
        <v>79</v>
      </c>
      <c r="W581" s="60"/>
      <c r="X581" s="26" t="s">
        <v>80</v>
      </c>
      <c r="Y581" s="60"/>
      <c r="Z581" s="26" t="s">
        <v>79</v>
      </c>
      <c r="AA581" s="60"/>
      <c r="AB581" s="26" t="s">
        <v>80</v>
      </c>
      <c r="AC581" s="60"/>
      <c r="AD581" s="23" t="s">
        <v>1905</v>
      </c>
    </row>
    <row r="582" spans="2:30" ht="51">
      <c r="B582" s="21" t="s">
        <v>1153</v>
      </c>
      <c r="C582" s="20"/>
      <c r="D582" s="21" t="s">
        <v>1893</v>
      </c>
      <c r="E582" s="20"/>
      <c r="F582" s="23" t="s">
        <v>254</v>
      </c>
      <c r="H582" s="21" t="s">
        <v>291</v>
      </c>
      <c r="J582" s="21" t="s">
        <v>89</v>
      </c>
      <c r="L582" s="21" t="s">
        <v>737</v>
      </c>
      <c r="N582" s="21" t="s">
        <v>185</v>
      </c>
      <c r="P582" s="21" t="s">
        <v>1906</v>
      </c>
      <c r="R582" s="21" t="s">
        <v>77</v>
      </c>
      <c r="S582" s="20"/>
      <c r="T582" s="58" t="s">
        <v>1895</v>
      </c>
      <c r="V582" s="26" t="s">
        <v>79</v>
      </c>
      <c r="W582" s="60"/>
      <c r="X582" s="26" t="s">
        <v>80</v>
      </c>
      <c r="Y582" s="60"/>
      <c r="Z582" s="26" t="s">
        <v>79</v>
      </c>
      <c r="AA582" s="60"/>
      <c r="AB582" s="23" t="s">
        <v>753</v>
      </c>
      <c r="AC582" s="60"/>
      <c r="AD582" s="23" t="s">
        <v>1907</v>
      </c>
    </row>
    <row r="583" spans="2:30" ht="84.95">
      <c r="B583" s="21" t="s">
        <v>1156</v>
      </c>
      <c r="C583" s="20"/>
      <c r="D583" s="21" t="s">
        <v>1893</v>
      </c>
      <c r="E583" s="20"/>
      <c r="F583" s="23" t="s">
        <v>254</v>
      </c>
      <c r="H583" s="21" t="s">
        <v>291</v>
      </c>
      <c r="J583" s="21" t="s">
        <v>89</v>
      </c>
      <c r="L583" s="21" t="s">
        <v>737</v>
      </c>
      <c r="N583" s="21" t="s">
        <v>185</v>
      </c>
      <c r="P583" s="21" t="s">
        <v>1531</v>
      </c>
      <c r="R583" s="21" t="s">
        <v>77</v>
      </c>
      <c r="S583" s="20"/>
      <c r="T583" s="58" t="s">
        <v>1895</v>
      </c>
      <c r="V583" s="26" t="s">
        <v>79</v>
      </c>
      <c r="W583" s="60"/>
      <c r="X583" s="26" t="s">
        <v>80</v>
      </c>
      <c r="Y583" s="60"/>
      <c r="Z583" s="26" t="s">
        <v>79</v>
      </c>
      <c r="AA583" s="60"/>
      <c r="AB583" s="26" t="s">
        <v>80</v>
      </c>
      <c r="AC583" s="60"/>
      <c r="AD583" s="23" t="s">
        <v>1908</v>
      </c>
    </row>
    <row r="584" spans="2:30" ht="68.099999999999994">
      <c r="B584" s="21" t="s">
        <v>1909</v>
      </c>
      <c r="C584" s="20"/>
      <c r="D584" s="21" t="s">
        <v>1910</v>
      </c>
      <c r="E584" s="20"/>
      <c r="F584" s="23" t="s">
        <v>254</v>
      </c>
      <c r="H584" s="21" t="s">
        <v>262</v>
      </c>
      <c r="J584" s="21" t="s">
        <v>89</v>
      </c>
      <c r="L584" s="21" t="s">
        <v>737</v>
      </c>
      <c r="N584" s="21" t="s">
        <v>103</v>
      </c>
      <c r="P584" s="21" t="s">
        <v>1911</v>
      </c>
      <c r="R584" s="21" t="s">
        <v>77</v>
      </c>
      <c r="S584" s="20"/>
      <c r="T584" s="58" t="s">
        <v>1912</v>
      </c>
      <c r="V584" s="26" t="s">
        <v>79</v>
      </c>
      <c r="W584" s="60"/>
      <c r="X584" s="26" t="s">
        <v>80</v>
      </c>
      <c r="Y584" s="60"/>
      <c r="Z584" s="26" t="s">
        <v>79</v>
      </c>
      <c r="AA584" s="60"/>
      <c r="AB584" s="26" t="s">
        <v>80</v>
      </c>
      <c r="AD584" s="23" t="s">
        <v>1896</v>
      </c>
    </row>
    <row r="585" spans="2:30" ht="51">
      <c r="B585" s="21" t="s">
        <v>1120</v>
      </c>
      <c r="C585" s="20"/>
      <c r="D585" s="21" t="s">
        <v>1910</v>
      </c>
      <c r="E585" s="20"/>
      <c r="F585" s="23" t="s">
        <v>254</v>
      </c>
      <c r="H585" s="21" t="s">
        <v>364</v>
      </c>
      <c r="J585" s="21" t="s">
        <v>89</v>
      </c>
      <c r="L585" s="21" t="s">
        <v>737</v>
      </c>
      <c r="N585" s="21" t="s">
        <v>103</v>
      </c>
      <c r="P585" s="21" t="s">
        <v>1913</v>
      </c>
      <c r="R585" s="21" t="s">
        <v>77</v>
      </c>
      <c r="S585" s="20"/>
      <c r="T585" s="58" t="s">
        <v>1912</v>
      </c>
      <c r="V585" s="26" t="s">
        <v>79</v>
      </c>
      <c r="W585" s="60"/>
      <c r="X585" s="26" t="s">
        <v>80</v>
      </c>
      <c r="Y585" s="60"/>
      <c r="Z585" s="26" t="s">
        <v>79</v>
      </c>
      <c r="AA585" s="60"/>
      <c r="AB585" s="26" t="s">
        <v>80</v>
      </c>
      <c r="AC585" s="60"/>
      <c r="AD585" s="23" t="s">
        <v>1898</v>
      </c>
    </row>
    <row r="586" spans="2:30" ht="135.94999999999999">
      <c r="B586" s="21" t="s">
        <v>1145</v>
      </c>
      <c r="C586" s="20"/>
      <c r="D586" s="21" t="s">
        <v>1910</v>
      </c>
      <c r="E586" s="20"/>
      <c r="F586" s="23" t="s">
        <v>254</v>
      </c>
      <c r="H586" s="21" t="s">
        <v>364</v>
      </c>
      <c r="J586" s="21" t="s">
        <v>89</v>
      </c>
      <c r="L586" s="21" t="s">
        <v>737</v>
      </c>
      <c r="N586" s="21" t="s">
        <v>185</v>
      </c>
      <c r="P586" s="21" t="s">
        <v>1914</v>
      </c>
      <c r="R586" s="21" t="s">
        <v>77</v>
      </c>
      <c r="S586" s="20"/>
      <c r="T586" s="58" t="s">
        <v>1912</v>
      </c>
      <c r="V586" s="26" t="s">
        <v>79</v>
      </c>
      <c r="W586" s="60"/>
      <c r="X586" s="26" t="s">
        <v>80</v>
      </c>
      <c r="Y586" s="60"/>
      <c r="Z586" s="26" t="s">
        <v>79</v>
      </c>
      <c r="AA586" s="60"/>
      <c r="AB586" s="26" t="s">
        <v>80</v>
      </c>
      <c r="AC586" s="60"/>
      <c r="AD586" s="23" t="s">
        <v>1915</v>
      </c>
    </row>
    <row r="587" spans="2:30" ht="65.099999999999994" customHeight="1">
      <c r="B587" s="21" t="s">
        <v>1130</v>
      </c>
      <c r="C587" s="20"/>
      <c r="D587" s="21" t="s">
        <v>1910</v>
      </c>
      <c r="E587" s="20"/>
      <c r="F587" s="23" t="s">
        <v>254</v>
      </c>
      <c r="H587" s="21" t="s">
        <v>291</v>
      </c>
      <c r="J587" s="21" t="s">
        <v>89</v>
      </c>
      <c r="L587" s="21" t="s">
        <v>737</v>
      </c>
      <c r="N587" s="21" t="s">
        <v>185</v>
      </c>
      <c r="P587" s="21" t="s">
        <v>1916</v>
      </c>
      <c r="R587" s="21" t="s">
        <v>77</v>
      </c>
      <c r="S587" s="20"/>
      <c r="T587" s="58" t="s">
        <v>1912</v>
      </c>
      <c r="V587" s="26" t="s">
        <v>79</v>
      </c>
      <c r="W587" s="60"/>
      <c r="X587" s="26" t="s">
        <v>80</v>
      </c>
      <c r="Y587" s="60"/>
      <c r="Z587" s="26" t="s">
        <v>79</v>
      </c>
      <c r="AA587" s="60"/>
      <c r="AB587" s="26" t="s">
        <v>80</v>
      </c>
      <c r="AC587" s="60"/>
      <c r="AD587" s="23" t="s">
        <v>1917</v>
      </c>
    </row>
    <row r="588" spans="2:30" ht="66.95" customHeight="1">
      <c r="B588" s="21" t="s">
        <v>1153</v>
      </c>
      <c r="C588" s="20"/>
      <c r="D588" s="21" t="s">
        <v>1910</v>
      </c>
      <c r="E588" s="20"/>
      <c r="F588" s="23" t="s">
        <v>254</v>
      </c>
      <c r="H588" s="21" t="s">
        <v>291</v>
      </c>
      <c r="J588" s="21" t="s">
        <v>89</v>
      </c>
      <c r="L588" s="21" t="s">
        <v>737</v>
      </c>
      <c r="N588" s="21" t="s">
        <v>185</v>
      </c>
      <c r="P588" s="21" t="s">
        <v>1918</v>
      </c>
      <c r="R588" s="21" t="s">
        <v>77</v>
      </c>
      <c r="S588" s="20"/>
      <c r="T588" s="58" t="s">
        <v>1912</v>
      </c>
      <c r="V588" s="26" t="s">
        <v>79</v>
      </c>
      <c r="W588" s="60"/>
      <c r="X588" s="26" t="s">
        <v>80</v>
      </c>
      <c r="Y588" s="60"/>
      <c r="Z588" s="26" t="s">
        <v>79</v>
      </c>
      <c r="AA588" s="60"/>
      <c r="AB588" s="23" t="s">
        <v>753</v>
      </c>
      <c r="AC588" s="60"/>
      <c r="AD588" s="23" t="s">
        <v>1919</v>
      </c>
    </row>
    <row r="589" spans="2:30" ht="84.95">
      <c r="B589" s="21" t="s">
        <v>1156</v>
      </c>
      <c r="C589" s="20"/>
      <c r="D589" s="21" t="s">
        <v>1910</v>
      </c>
      <c r="E589" s="20"/>
      <c r="F589" s="23" t="s">
        <v>254</v>
      </c>
      <c r="H589" s="21" t="s">
        <v>291</v>
      </c>
      <c r="J589" s="21" t="s">
        <v>89</v>
      </c>
      <c r="L589" s="21" t="s">
        <v>737</v>
      </c>
      <c r="N589" s="21" t="s">
        <v>185</v>
      </c>
      <c r="P589" s="21" t="s">
        <v>1135</v>
      </c>
      <c r="R589" s="21" t="s">
        <v>77</v>
      </c>
      <c r="S589" s="20"/>
      <c r="T589" s="58" t="s">
        <v>1912</v>
      </c>
      <c r="V589" s="26" t="s">
        <v>79</v>
      </c>
      <c r="W589" s="60"/>
      <c r="X589" s="26" t="s">
        <v>80</v>
      </c>
      <c r="Y589" s="60"/>
      <c r="Z589" s="26" t="s">
        <v>79</v>
      </c>
      <c r="AA589" s="60"/>
      <c r="AB589" s="26" t="s">
        <v>80</v>
      </c>
      <c r="AC589" s="60"/>
      <c r="AD589" s="23" t="s">
        <v>1920</v>
      </c>
    </row>
    <row r="590" spans="2:30" ht="102">
      <c r="B590" s="21" t="s">
        <v>1921</v>
      </c>
      <c r="C590" s="20"/>
      <c r="D590" s="21" t="s">
        <v>1922</v>
      </c>
      <c r="E590" s="20"/>
      <c r="F590" s="23" t="s">
        <v>254</v>
      </c>
      <c r="H590" s="21" t="s">
        <v>262</v>
      </c>
      <c r="J590" s="21" t="s">
        <v>89</v>
      </c>
      <c r="L590" s="21" t="s">
        <v>737</v>
      </c>
      <c r="N590" s="21" t="s">
        <v>103</v>
      </c>
      <c r="P590" s="21" t="s">
        <v>1923</v>
      </c>
      <c r="R590" s="21" t="s">
        <v>77</v>
      </c>
      <c r="S590" s="20"/>
      <c r="T590" s="58" t="s">
        <v>1924</v>
      </c>
      <c r="V590" s="26" t="s">
        <v>79</v>
      </c>
      <c r="W590" s="60"/>
      <c r="X590" s="26" t="s">
        <v>80</v>
      </c>
      <c r="Y590" s="60"/>
      <c r="Z590" s="26" t="s">
        <v>79</v>
      </c>
      <c r="AA590" s="60"/>
      <c r="AB590" s="26" t="s">
        <v>80</v>
      </c>
      <c r="AD590" s="23" t="s">
        <v>1925</v>
      </c>
    </row>
    <row r="591" spans="2:30" ht="69" customHeight="1">
      <c r="B591" s="21" t="s">
        <v>1120</v>
      </c>
      <c r="C591" s="20"/>
      <c r="D591" s="21" t="s">
        <v>1922</v>
      </c>
      <c r="E591" s="20"/>
      <c r="F591" s="23" t="s">
        <v>254</v>
      </c>
      <c r="H591" s="21" t="s">
        <v>364</v>
      </c>
      <c r="J591" s="21" t="s">
        <v>89</v>
      </c>
      <c r="L591" s="21" t="s">
        <v>737</v>
      </c>
      <c r="N591" s="21" t="s">
        <v>103</v>
      </c>
      <c r="P591" s="21" t="s">
        <v>1926</v>
      </c>
      <c r="R591" s="21" t="s">
        <v>77</v>
      </c>
      <c r="S591" s="20"/>
      <c r="T591" s="58" t="s">
        <v>1924</v>
      </c>
      <c r="V591" s="26" t="s">
        <v>79</v>
      </c>
      <c r="W591" s="60"/>
      <c r="X591" s="26" t="s">
        <v>80</v>
      </c>
      <c r="Y591" s="60"/>
      <c r="Z591" s="26" t="s">
        <v>79</v>
      </c>
      <c r="AA591" s="60"/>
      <c r="AB591" s="26" t="s">
        <v>80</v>
      </c>
      <c r="AC591" s="60"/>
      <c r="AD591" s="23" t="s">
        <v>1927</v>
      </c>
    </row>
    <row r="592" spans="2:30" ht="135.94999999999999">
      <c r="B592" s="21" t="s">
        <v>1145</v>
      </c>
      <c r="C592" s="20"/>
      <c r="D592" s="21" t="s">
        <v>1922</v>
      </c>
      <c r="E592" s="20"/>
      <c r="F592" s="23" t="s">
        <v>254</v>
      </c>
      <c r="H592" s="21" t="s">
        <v>364</v>
      </c>
      <c r="J592" s="21" t="s">
        <v>89</v>
      </c>
      <c r="L592" s="21" t="s">
        <v>737</v>
      </c>
      <c r="N592" s="21" t="s">
        <v>185</v>
      </c>
      <c r="P592" s="21" t="s">
        <v>1928</v>
      </c>
      <c r="R592" s="21" t="s">
        <v>77</v>
      </c>
      <c r="S592" s="20"/>
      <c r="T592" s="58" t="s">
        <v>1924</v>
      </c>
      <c r="V592" s="26" t="s">
        <v>79</v>
      </c>
      <c r="W592" s="60"/>
      <c r="X592" s="26" t="s">
        <v>80</v>
      </c>
      <c r="Y592" s="60"/>
      <c r="Z592" s="26" t="s">
        <v>79</v>
      </c>
      <c r="AA592" s="60"/>
      <c r="AB592" s="26" t="s">
        <v>80</v>
      </c>
      <c r="AC592" s="60"/>
      <c r="AD592" s="23" t="s">
        <v>1929</v>
      </c>
    </row>
    <row r="593" spans="2:30" ht="63.95" customHeight="1">
      <c r="B593" s="21" t="s">
        <v>1130</v>
      </c>
      <c r="C593" s="20"/>
      <c r="D593" s="21" t="s">
        <v>1922</v>
      </c>
      <c r="E593" s="20"/>
      <c r="F593" s="23" t="s">
        <v>254</v>
      </c>
      <c r="H593" s="21" t="s">
        <v>291</v>
      </c>
      <c r="J593" s="21" t="s">
        <v>89</v>
      </c>
      <c r="L593" s="21" t="s">
        <v>737</v>
      </c>
      <c r="N593" s="21" t="s">
        <v>185</v>
      </c>
      <c r="P593" s="21" t="s">
        <v>1930</v>
      </c>
      <c r="R593" s="21" t="s">
        <v>77</v>
      </c>
      <c r="S593" s="20"/>
      <c r="T593" s="58" t="s">
        <v>1924</v>
      </c>
      <c r="V593" s="26" t="s">
        <v>79</v>
      </c>
      <c r="W593" s="60"/>
      <c r="X593" s="26" t="s">
        <v>80</v>
      </c>
      <c r="Y593" s="60"/>
      <c r="Z593" s="26" t="s">
        <v>79</v>
      </c>
      <c r="AA593" s="60"/>
      <c r="AB593" s="26" t="s">
        <v>80</v>
      </c>
      <c r="AC593" s="60"/>
      <c r="AD593" s="23" t="s">
        <v>1931</v>
      </c>
    </row>
    <row r="594" spans="2:30" ht="66" customHeight="1">
      <c r="B594" s="21" t="s">
        <v>1153</v>
      </c>
      <c r="C594" s="20"/>
      <c r="D594" s="21" t="s">
        <v>1922</v>
      </c>
      <c r="E594" s="20"/>
      <c r="F594" s="23" t="s">
        <v>254</v>
      </c>
      <c r="H594" s="21" t="s">
        <v>291</v>
      </c>
      <c r="J594" s="21" t="s">
        <v>89</v>
      </c>
      <c r="L594" s="21" t="s">
        <v>737</v>
      </c>
      <c r="N594" s="21" t="s">
        <v>185</v>
      </c>
      <c r="P594" s="21" t="s">
        <v>1932</v>
      </c>
      <c r="R594" s="21" t="s">
        <v>77</v>
      </c>
      <c r="S594" s="20"/>
      <c r="T594" s="58" t="s">
        <v>1924</v>
      </c>
      <c r="V594" s="26" t="s">
        <v>79</v>
      </c>
      <c r="W594" s="60"/>
      <c r="X594" s="26" t="s">
        <v>80</v>
      </c>
      <c r="Y594" s="60"/>
      <c r="Z594" s="26" t="s">
        <v>79</v>
      </c>
      <c r="AA594" s="60"/>
      <c r="AB594" s="23" t="s">
        <v>753</v>
      </c>
      <c r="AC594" s="60"/>
      <c r="AD594" s="23" t="s">
        <v>1933</v>
      </c>
    </row>
    <row r="595" spans="2:30" ht="84.95">
      <c r="B595" s="21" t="s">
        <v>1156</v>
      </c>
      <c r="C595" s="20"/>
      <c r="D595" s="21" t="s">
        <v>1922</v>
      </c>
      <c r="E595" s="20"/>
      <c r="F595" s="23" t="s">
        <v>254</v>
      </c>
      <c r="H595" s="21" t="s">
        <v>291</v>
      </c>
      <c r="J595" s="21" t="s">
        <v>89</v>
      </c>
      <c r="L595" s="21" t="s">
        <v>737</v>
      </c>
      <c r="N595" s="21" t="s">
        <v>185</v>
      </c>
      <c r="P595" s="21" t="s">
        <v>1135</v>
      </c>
      <c r="R595" s="21" t="s">
        <v>77</v>
      </c>
      <c r="S595" s="20"/>
      <c r="T595" s="58" t="s">
        <v>1924</v>
      </c>
      <c r="V595" s="26" t="s">
        <v>79</v>
      </c>
      <c r="W595" s="60"/>
      <c r="X595" s="26" t="s">
        <v>80</v>
      </c>
      <c r="Y595" s="60"/>
      <c r="Z595" s="26" t="s">
        <v>79</v>
      </c>
      <c r="AA595" s="60"/>
      <c r="AB595" s="26" t="s">
        <v>80</v>
      </c>
      <c r="AC595" s="60"/>
      <c r="AD595" s="23" t="s">
        <v>1934</v>
      </c>
    </row>
    <row r="596" spans="2:30" ht="78" customHeight="1">
      <c r="B596" s="21" t="s">
        <v>1935</v>
      </c>
      <c r="C596" s="20"/>
      <c r="D596" s="21" t="s">
        <v>1936</v>
      </c>
      <c r="E596" s="20"/>
      <c r="F596" s="23" t="s">
        <v>254</v>
      </c>
      <c r="H596" s="21" t="s">
        <v>262</v>
      </c>
      <c r="J596" s="21" t="s">
        <v>89</v>
      </c>
      <c r="L596" s="21" t="s">
        <v>737</v>
      </c>
      <c r="N596" s="21" t="s">
        <v>103</v>
      </c>
      <c r="P596" s="21" t="s">
        <v>1937</v>
      </c>
      <c r="R596" s="21" t="s">
        <v>77</v>
      </c>
      <c r="S596" s="20"/>
      <c r="T596" s="58" t="s">
        <v>1938</v>
      </c>
      <c r="V596" s="26" t="s">
        <v>79</v>
      </c>
      <c r="W596" s="60"/>
      <c r="X596" s="26" t="s">
        <v>80</v>
      </c>
      <c r="Y596" s="60"/>
      <c r="Z596" s="26" t="s">
        <v>79</v>
      </c>
      <c r="AA596" s="60"/>
      <c r="AB596" s="26" t="s">
        <v>80</v>
      </c>
      <c r="AD596" s="23" t="s">
        <v>1939</v>
      </c>
    </row>
    <row r="597" spans="2:30" ht="81.95" customHeight="1">
      <c r="B597" s="21" t="s">
        <v>1120</v>
      </c>
      <c r="C597" s="20"/>
      <c r="D597" s="21" t="s">
        <v>1936</v>
      </c>
      <c r="E597" s="20"/>
      <c r="F597" s="23" t="s">
        <v>254</v>
      </c>
      <c r="H597" s="21" t="s">
        <v>364</v>
      </c>
      <c r="J597" s="21" t="s">
        <v>89</v>
      </c>
      <c r="L597" s="21" t="s">
        <v>737</v>
      </c>
      <c r="N597" s="21" t="s">
        <v>103</v>
      </c>
      <c r="P597" s="21" t="s">
        <v>1940</v>
      </c>
      <c r="R597" s="21" t="s">
        <v>77</v>
      </c>
      <c r="S597" s="20"/>
      <c r="T597" s="58" t="s">
        <v>1938</v>
      </c>
      <c r="V597" s="26" t="s">
        <v>79</v>
      </c>
      <c r="W597" s="60"/>
      <c r="X597" s="26" t="s">
        <v>80</v>
      </c>
      <c r="Y597" s="60"/>
      <c r="Z597" s="26" t="s">
        <v>79</v>
      </c>
      <c r="AA597" s="60"/>
      <c r="AB597" s="26" t="s">
        <v>80</v>
      </c>
      <c r="AC597" s="60"/>
      <c r="AD597" s="23" t="s">
        <v>1941</v>
      </c>
    </row>
    <row r="598" spans="2:30" ht="81" customHeight="1">
      <c r="B598" s="21" t="s">
        <v>1199</v>
      </c>
      <c r="C598" s="20"/>
      <c r="D598" s="21" t="s">
        <v>1936</v>
      </c>
      <c r="E598" s="20"/>
      <c r="F598" s="23" t="s">
        <v>254</v>
      </c>
      <c r="H598" s="21" t="s">
        <v>298</v>
      </c>
      <c r="J598" s="21" t="s">
        <v>89</v>
      </c>
      <c r="L598" s="21" t="s">
        <v>737</v>
      </c>
      <c r="N598" s="21" t="s">
        <v>103</v>
      </c>
      <c r="P598" s="21" t="s">
        <v>1942</v>
      </c>
      <c r="R598" s="21" t="s">
        <v>77</v>
      </c>
      <c r="S598" s="20"/>
      <c r="T598" s="58" t="s">
        <v>1938</v>
      </c>
      <c r="V598" s="26" t="s">
        <v>79</v>
      </c>
      <c r="W598" s="60"/>
      <c r="X598" s="26" t="s">
        <v>80</v>
      </c>
      <c r="Y598" s="60"/>
      <c r="Z598" s="26" t="s">
        <v>79</v>
      </c>
      <c r="AA598" s="60"/>
      <c r="AB598" s="26" t="s">
        <v>80</v>
      </c>
      <c r="AC598" s="60"/>
      <c r="AD598" s="23" t="s">
        <v>1943</v>
      </c>
    </row>
    <row r="599" spans="2:30" ht="68.099999999999994">
      <c r="B599" s="21" t="s">
        <v>1124</v>
      </c>
      <c r="C599" s="20"/>
      <c r="D599" s="21" t="s">
        <v>1936</v>
      </c>
      <c r="E599" s="20"/>
      <c r="F599" s="23" t="s">
        <v>254</v>
      </c>
      <c r="H599" s="21" t="s">
        <v>364</v>
      </c>
      <c r="J599" s="21" t="s">
        <v>89</v>
      </c>
      <c r="L599" s="21" t="s">
        <v>737</v>
      </c>
      <c r="N599" s="21" t="s">
        <v>103</v>
      </c>
      <c r="P599" s="21" t="s">
        <v>1944</v>
      </c>
      <c r="R599" s="21" t="s">
        <v>77</v>
      </c>
      <c r="S599" s="20"/>
      <c r="T599" s="58" t="s">
        <v>1938</v>
      </c>
      <c r="V599" s="26" t="s">
        <v>79</v>
      </c>
      <c r="W599" s="60"/>
      <c r="X599" s="26" t="s">
        <v>80</v>
      </c>
      <c r="Y599" s="60"/>
      <c r="Z599" s="26" t="s">
        <v>79</v>
      </c>
      <c r="AA599" s="60"/>
      <c r="AB599" s="26" t="s">
        <v>80</v>
      </c>
      <c r="AC599" s="60"/>
      <c r="AD599" s="23" t="s">
        <v>1945</v>
      </c>
    </row>
    <row r="600" spans="2:30" ht="186.95">
      <c r="B600" s="21" t="s">
        <v>1145</v>
      </c>
      <c r="C600" s="20"/>
      <c r="D600" s="21" t="s">
        <v>1936</v>
      </c>
      <c r="E600" s="20"/>
      <c r="F600" s="23" t="s">
        <v>254</v>
      </c>
      <c r="H600" s="21" t="s">
        <v>364</v>
      </c>
      <c r="J600" s="21" t="s">
        <v>89</v>
      </c>
      <c r="L600" s="21" t="s">
        <v>737</v>
      </c>
      <c r="N600" s="21" t="s">
        <v>185</v>
      </c>
      <c r="P600" s="21" t="s">
        <v>1946</v>
      </c>
      <c r="R600" s="21" t="s">
        <v>77</v>
      </c>
      <c r="S600" s="20"/>
      <c r="T600" s="58" t="s">
        <v>1938</v>
      </c>
      <c r="V600" s="26" t="s">
        <v>79</v>
      </c>
      <c r="W600" s="60"/>
      <c r="X600" s="26" t="s">
        <v>80</v>
      </c>
      <c r="Y600" s="60"/>
      <c r="Z600" s="26" t="s">
        <v>79</v>
      </c>
      <c r="AA600" s="60"/>
      <c r="AB600" s="26" t="s">
        <v>80</v>
      </c>
      <c r="AC600" s="60"/>
      <c r="AD600" s="23" t="s">
        <v>1947</v>
      </c>
    </row>
    <row r="601" spans="2:30" ht="90.95" customHeight="1">
      <c r="B601" s="21" t="s">
        <v>1148</v>
      </c>
      <c r="C601" s="20"/>
      <c r="D601" s="21" t="s">
        <v>1936</v>
      </c>
      <c r="E601" s="20"/>
      <c r="F601" s="23" t="s">
        <v>254</v>
      </c>
      <c r="H601" s="21" t="s">
        <v>364</v>
      </c>
      <c r="J601" s="21" t="s">
        <v>89</v>
      </c>
      <c r="L601" s="21" t="s">
        <v>737</v>
      </c>
      <c r="N601" s="21" t="s">
        <v>185</v>
      </c>
      <c r="P601" s="21" t="s">
        <v>1948</v>
      </c>
      <c r="R601" s="21" t="s">
        <v>77</v>
      </c>
      <c r="S601" s="20"/>
      <c r="T601" s="58" t="s">
        <v>1938</v>
      </c>
      <c r="V601" s="26" t="s">
        <v>79</v>
      </c>
      <c r="W601" s="60"/>
      <c r="X601" s="26" t="s">
        <v>80</v>
      </c>
      <c r="Y601" s="60"/>
      <c r="Z601" s="26" t="s">
        <v>79</v>
      </c>
      <c r="AA601" s="60"/>
      <c r="AB601" s="26" t="s">
        <v>80</v>
      </c>
      <c r="AC601" s="60"/>
      <c r="AD601" s="23" t="s">
        <v>1949</v>
      </c>
    </row>
    <row r="602" spans="2:30" ht="83.1" customHeight="1">
      <c r="B602" s="21" t="s">
        <v>1130</v>
      </c>
      <c r="C602" s="20"/>
      <c r="D602" s="21" t="s">
        <v>1936</v>
      </c>
      <c r="E602" s="20"/>
      <c r="F602" s="23" t="s">
        <v>254</v>
      </c>
      <c r="H602" s="21" t="s">
        <v>291</v>
      </c>
      <c r="J602" s="21" t="s">
        <v>89</v>
      </c>
      <c r="L602" s="21" t="s">
        <v>737</v>
      </c>
      <c r="N602" s="21" t="s">
        <v>185</v>
      </c>
      <c r="P602" s="21" t="s">
        <v>1950</v>
      </c>
      <c r="R602" s="21" t="s">
        <v>77</v>
      </c>
      <c r="S602" s="20"/>
      <c r="T602" s="58" t="s">
        <v>1938</v>
      </c>
      <c r="V602" s="26" t="s">
        <v>79</v>
      </c>
      <c r="W602" s="60"/>
      <c r="X602" s="26" t="s">
        <v>80</v>
      </c>
      <c r="Y602" s="60"/>
      <c r="Z602" s="26" t="s">
        <v>79</v>
      </c>
      <c r="AA602" s="60"/>
      <c r="AB602" s="26" t="s">
        <v>80</v>
      </c>
      <c r="AC602" s="60"/>
      <c r="AD602" s="23" t="s">
        <v>1951</v>
      </c>
    </row>
    <row r="603" spans="2:30" ht="68.099999999999994">
      <c r="B603" s="21" t="s">
        <v>1153</v>
      </c>
      <c r="C603" s="20"/>
      <c r="D603" s="21" t="s">
        <v>1936</v>
      </c>
      <c r="E603" s="20"/>
      <c r="F603" s="23" t="s">
        <v>254</v>
      </c>
      <c r="H603" s="21" t="s">
        <v>291</v>
      </c>
      <c r="J603" s="21" t="s">
        <v>89</v>
      </c>
      <c r="L603" s="21" t="s">
        <v>737</v>
      </c>
      <c r="N603" s="21" t="s">
        <v>185</v>
      </c>
      <c r="P603" s="21" t="s">
        <v>1952</v>
      </c>
      <c r="R603" s="21" t="s">
        <v>77</v>
      </c>
      <c r="S603" s="20"/>
      <c r="T603" s="58" t="s">
        <v>1938</v>
      </c>
      <c r="V603" s="26" t="s">
        <v>79</v>
      </c>
      <c r="W603" s="60"/>
      <c r="X603" s="26" t="s">
        <v>80</v>
      </c>
      <c r="Y603" s="60"/>
      <c r="Z603" s="26" t="s">
        <v>79</v>
      </c>
      <c r="AA603" s="60"/>
      <c r="AB603" s="23" t="s">
        <v>753</v>
      </c>
      <c r="AC603" s="60"/>
      <c r="AD603" s="23" t="s">
        <v>1953</v>
      </c>
    </row>
    <row r="604" spans="2:30" ht="84.95">
      <c r="B604" s="21" t="s">
        <v>1156</v>
      </c>
      <c r="C604" s="20"/>
      <c r="D604" s="21" t="s">
        <v>1936</v>
      </c>
      <c r="E604" s="20"/>
      <c r="F604" s="23" t="s">
        <v>254</v>
      </c>
      <c r="H604" s="21" t="s">
        <v>291</v>
      </c>
      <c r="J604" s="21" t="s">
        <v>89</v>
      </c>
      <c r="L604" s="21" t="s">
        <v>737</v>
      </c>
      <c r="N604" s="21" t="s">
        <v>185</v>
      </c>
      <c r="P604" s="21" t="s">
        <v>1531</v>
      </c>
      <c r="R604" s="21" t="s">
        <v>77</v>
      </c>
      <c r="S604" s="20"/>
      <c r="T604" s="58" t="s">
        <v>1938</v>
      </c>
      <c r="V604" s="26" t="s">
        <v>79</v>
      </c>
      <c r="W604" s="60"/>
      <c r="X604" s="26" t="s">
        <v>80</v>
      </c>
      <c r="Y604" s="60"/>
      <c r="Z604" s="26" t="s">
        <v>79</v>
      </c>
      <c r="AA604" s="60"/>
      <c r="AB604" s="26" t="s">
        <v>80</v>
      </c>
      <c r="AC604" s="60"/>
      <c r="AD604" s="23" t="s">
        <v>1954</v>
      </c>
    </row>
    <row r="605" spans="2:30" ht="75" customHeight="1">
      <c r="B605" s="21" t="s">
        <v>1955</v>
      </c>
      <c r="C605" s="20"/>
      <c r="D605" s="21" t="s">
        <v>1956</v>
      </c>
      <c r="E605" s="20"/>
      <c r="F605" s="23" t="s">
        <v>254</v>
      </c>
      <c r="H605" s="21" t="s">
        <v>262</v>
      </c>
      <c r="J605" s="21" t="s">
        <v>89</v>
      </c>
      <c r="L605" s="21" t="s">
        <v>737</v>
      </c>
      <c r="N605" s="21" t="s">
        <v>103</v>
      </c>
      <c r="P605" s="21" t="s">
        <v>1957</v>
      </c>
      <c r="R605" s="21" t="s">
        <v>77</v>
      </c>
      <c r="S605" s="20"/>
      <c r="T605" s="58" t="s">
        <v>1958</v>
      </c>
      <c r="V605" s="26" t="s">
        <v>79</v>
      </c>
      <c r="W605" s="60"/>
      <c r="X605" s="26" t="s">
        <v>80</v>
      </c>
      <c r="Y605" s="60"/>
      <c r="Z605" s="26" t="s">
        <v>79</v>
      </c>
      <c r="AA605" s="60"/>
      <c r="AB605" s="26" t="s">
        <v>80</v>
      </c>
      <c r="AD605" s="23" t="s">
        <v>1959</v>
      </c>
    </row>
    <row r="606" spans="2:30" ht="69" customHeight="1">
      <c r="B606" s="21" t="s">
        <v>1199</v>
      </c>
      <c r="C606" s="20"/>
      <c r="D606" s="21" t="s">
        <v>1956</v>
      </c>
      <c r="E606" s="20"/>
      <c r="F606" s="23" t="s">
        <v>254</v>
      </c>
      <c r="H606" s="21" t="s">
        <v>298</v>
      </c>
      <c r="J606" s="21" t="s">
        <v>89</v>
      </c>
      <c r="L606" s="21" t="s">
        <v>737</v>
      </c>
      <c r="N606" s="21" t="s">
        <v>103</v>
      </c>
      <c r="P606" s="21" t="s">
        <v>1960</v>
      </c>
      <c r="R606" s="21" t="s">
        <v>77</v>
      </c>
      <c r="S606" s="20"/>
      <c r="T606" s="58" t="s">
        <v>1958</v>
      </c>
      <c r="V606" s="26" t="s">
        <v>79</v>
      </c>
      <c r="W606" s="60"/>
      <c r="X606" s="26" t="s">
        <v>80</v>
      </c>
      <c r="Y606" s="60"/>
      <c r="Z606" s="26" t="s">
        <v>79</v>
      </c>
      <c r="AA606" s="60"/>
      <c r="AB606" s="26" t="s">
        <v>80</v>
      </c>
      <c r="AC606" s="60"/>
      <c r="AD606" s="23" t="s">
        <v>1961</v>
      </c>
    </row>
    <row r="607" spans="2:30" ht="68.099999999999994" customHeight="1">
      <c r="B607" s="21" t="s">
        <v>1120</v>
      </c>
      <c r="C607" s="20"/>
      <c r="D607" s="21" t="s">
        <v>1956</v>
      </c>
      <c r="E607" s="20"/>
      <c r="F607" s="23" t="s">
        <v>254</v>
      </c>
      <c r="H607" s="21" t="s">
        <v>364</v>
      </c>
      <c r="J607" s="21" t="s">
        <v>89</v>
      </c>
      <c r="L607" s="21" t="s">
        <v>737</v>
      </c>
      <c r="N607" s="21" t="s">
        <v>103</v>
      </c>
      <c r="P607" s="21" t="s">
        <v>1962</v>
      </c>
      <c r="R607" s="21" t="s">
        <v>77</v>
      </c>
      <c r="S607" s="20"/>
      <c r="T607" s="58" t="s">
        <v>1958</v>
      </c>
      <c r="V607" s="26" t="s">
        <v>79</v>
      </c>
      <c r="W607" s="60"/>
      <c r="X607" s="26" t="s">
        <v>80</v>
      </c>
      <c r="Y607" s="60"/>
      <c r="Z607" s="26" t="s">
        <v>79</v>
      </c>
      <c r="AA607" s="60"/>
      <c r="AB607" s="26" t="s">
        <v>80</v>
      </c>
      <c r="AC607" s="60"/>
      <c r="AD607" s="23" t="s">
        <v>1963</v>
      </c>
    </row>
    <row r="608" spans="2:30" ht="63" customHeight="1">
      <c r="B608" s="21" t="s">
        <v>1124</v>
      </c>
      <c r="C608" s="20"/>
      <c r="D608" s="21" t="s">
        <v>1956</v>
      </c>
      <c r="E608" s="20"/>
      <c r="F608" s="23" t="s">
        <v>254</v>
      </c>
      <c r="H608" s="21" t="s">
        <v>364</v>
      </c>
      <c r="J608" s="21" t="s">
        <v>89</v>
      </c>
      <c r="L608" s="21" t="s">
        <v>737</v>
      </c>
      <c r="N608" s="21" t="s">
        <v>103</v>
      </c>
      <c r="P608" s="21" t="s">
        <v>1964</v>
      </c>
      <c r="R608" s="21" t="s">
        <v>77</v>
      </c>
      <c r="S608" s="20"/>
      <c r="T608" s="58" t="s">
        <v>1958</v>
      </c>
      <c r="V608" s="26" t="s">
        <v>79</v>
      </c>
      <c r="W608" s="60"/>
      <c r="X608" s="26" t="s">
        <v>80</v>
      </c>
      <c r="Y608" s="60"/>
      <c r="Z608" s="26" t="s">
        <v>79</v>
      </c>
      <c r="AA608" s="60"/>
      <c r="AB608" s="26" t="s">
        <v>80</v>
      </c>
      <c r="AC608" s="60"/>
      <c r="AD608" s="23" t="s">
        <v>1965</v>
      </c>
    </row>
    <row r="609" spans="2:30" ht="186.95">
      <c r="B609" s="21" t="s">
        <v>1145</v>
      </c>
      <c r="C609" s="20"/>
      <c r="D609" s="21" t="s">
        <v>1956</v>
      </c>
      <c r="E609" s="20"/>
      <c r="F609" s="23" t="s">
        <v>254</v>
      </c>
      <c r="H609" s="21" t="s">
        <v>364</v>
      </c>
      <c r="J609" s="21" t="s">
        <v>89</v>
      </c>
      <c r="L609" s="21" t="s">
        <v>737</v>
      </c>
      <c r="N609" s="21" t="s">
        <v>185</v>
      </c>
      <c r="P609" s="21" t="s">
        <v>1966</v>
      </c>
      <c r="R609" s="21" t="s">
        <v>77</v>
      </c>
      <c r="S609" s="20"/>
      <c r="T609" s="58" t="s">
        <v>1958</v>
      </c>
      <c r="V609" s="26" t="s">
        <v>79</v>
      </c>
      <c r="W609" s="60"/>
      <c r="X609" s="26" t="s">
        <v>80</v>
      </c>
      <c r="Y609" s="60"/>
      <c r="Z609" s="26" t="s">
        <v>79</v>
      </c>
      <c r="AA609" s="60"/>
      <c r="AB609" s="26" t="s">
        <v>80</v>
      </c>
      <c r="AC609" s="60"/>
      <c r="AD609" s="23" t="s">
        <v>1967</v>
      </c>
    </row>
    <row r="610" spans="2:30" ht="62.1" customHeight="1">
      <c r="B610" s="21" t="s">
        <v>1148</v>
      </c>
      <c r="C610" s="20"/>
      <c r="D610" s="21" t="s">
        <v>1956</v>
      </c>
      <c r="E610" s="20"/>
      <c r="F610" s="23" t="s">
        <v>254</v>
      </c>
      <c r="H610" s="21" t="s">
        <v>364</v>
      </c>
      <c r="J610" s="21" t="s">
        <v>89</v>
      </c>
      <c r="L610" s="21" t="s">
        <v>737</v>
      </c>
      <c r="N610" s="21" t="s">
        <v>185</v>
      </c>
      <c r="P610" s="21" t="s">
        <v>1968</v>
      </c>
      <c r="R610" s="21" t="s">
        <v>77</v>
      </c>
      <c r="S610" s="20"/>
      <c r="T610" s="58" t="s">
        <v>1958</v>
      </c>
      <c r="V610" s="26" t="s">
        <v>79</v>
      </c>
      <c r="W610" s="60"/>
      <c r="X610" s="26" t="s">
        <v>80</v>
      </c>
      <c r="Y610" s="60"/>
      <c r="Z610" s="26" t="s">
        <v>79</v>
      </c>
      <c r="AA610" s="60"/>
      <c r="AB610" s="26" t="s">
        <v>80</v>
      </c>
      <c r="AC610" s="60"/>
      <c r="AD610" s="23" t="s">
        <v>1969</v>
      </c>
    </row>
    <row r="611" spans="2:30" ht="63.95" customHeight="1">
      <c r="B611" s="21" t="s">
        <v>1130</v>
      </c>
      <c r="C611" s="20"/>
      <c r="D611" s="21" t="s">
        <v>1956</v>
      </c>
      <c r="E611" s="20"/>
      <c r="F611" s="23" t="s">
        <v>254</v>
      </c>
      <c r="H611" s="21" t="s">
        <v>291</v>
      </c>
      <c r="J611" s="21" t="s">
        <v>89</v>
      </c>
      <c r="L611" s="21" t="s">
        <v>737</v>
      </c>
      <c r="N611" s="21" t="s">
        <v>185</v>
      </c>
      <c r="P611" s="21" t="s">
        <v>1970</v>
      </c>
      <c r="R611" s="21" t="s">
        <v>77</v>
      </c>
      <c r="S611" s="20"/>
      <c r="T611" s="58" t="s">
        <v>1958</v>
      </c>
      <c r="V611" s="26" t="s">
        <v>79</v>
      </c>
      <c r="W611" s="60"/>
      <c r="X611" s="26" t="s">
        <v>80</v>
      </c>
      <c r="Y611" s="60"/>
      <c r="Z611" s="26" t="s">
        <v>79</v>
      </c>
      <c r="AA611" s="60"/>
      <c r="AB611" s="26" t="s">
        <v>80</v>
      </c>
      <c r="AC611" s="60"/>
      <c r="AD611" s="23" t="s">
        <v>1971</v>
      </c>
    </row>
    <row r="612" spans="2:30" ht="65.099999999999994" customHeight="1">
      <c r="B612" s="21" t="s">
        <v>1153</v>
      </c>
      <c r="C612" s="20"/>
      <c r="D612" s="21" t="s">
        <v>1956</v>
      </c>
      <c r="E612" s="20"/>
      <c r="F612" s="23" t="s">
        <v>254</v>
      </c>
      <c r="H612" s="21" t="s">
        <v>291</v>
      </c>
      <c r="J612" s="21" t="s">
        <v>89</v>
      </c>
      <c r="L612" s="21" t="s">
        <v>737</v>
      </c>
      <c r="N612" s="21" t="s">
        <v>185</v>
      </c>
      <c r="P612" s="21" t="s">
        <v>1972</v>
      </c>
      <c r="R612" s="21" t="s">
        <v>77</v>
      </c>
      <c r="S612" s="20"/>
      <c r="T612" s="58" t="s">
        <v>1958</v>
      </c>
      <c r="V612" s="26" t="s">
        <v>79</v>
      </c>
      <c r="W612" s="60"/>
      <c r="X612" s="26" t="s">
        <v>80</v>
      </c>
      <c r="Y612" s="60"/>
      <c r="Z612" s="26" t="s">
        <v>79</v>
      </c>
      <c r="AA612" s="60"/>
      <c r="AB612" s="23" t="s">
        <v>753</v>
      </c>
      <c r="AC612" s="60"/>
      <c r="AD612" s="23" t="s">
        <v>1973</v>
      </c>
    </row>
    <row r="613" spans="2:30" ht="84.95">
      <c r="B613" s="21" t="s">
        <v>1156</v>
      </c>
      <c r="C613" s="20"/>
      <c r="D613" s="21" t="s">
        <v>1956</v>
      </c>
      <c r="E613" s="20"/>
      <c r="F613" s="23" t="s">
        <v>254</v>
      </c>
      <c r="H613" s="21" t="s">
        <v>291</v>
      </c>
      <c r="J613" s="21" t="s">
        <v>89</v>
      </c>
      <c r="L613" s="21" t="s">
        <v>737</v>
      </c>
      <c r="N613" s="21" t="s">
        <v>185</v>
      </c>
      <c r="P613" s="21" t="s">
        <v>1531</v>
      </c>
      <c r="R613" s="21" t="s">
        <v>77</v>
      </c>
      <c r="S613" s="20"/>
      <c r="T613" s="58" t="s">
        <v>1958</v>
      </c>
      <c r="V613" s="26" t="s">
        <v>79</v>
      </c>
      <c r="W613" s="60"/>
      <c r="X613" s="26" t="s">
        <v>80</v>
      </c>
      <c r="Y613" s="60"/>
      <c r="Z613" s="26" t="s">
        <v>79</v>
      </c>
      <c r="AA613" s="60"/>
      <c r="AB613" s="26" t="s">
        <v>80</v>
      </c>
      <c r="AC613" s="60"/>
      <c r="AD613" s="23" t="s">
        <v>1974</v>
      </c>
    </row>
    <row r="614" spans="2:30" ht="84.95">
      <c r="B614" s="21" t="s">
        <v>1975</v>
      </c>
      <c r="C614" s="20"/>
      <c r="D614" s="21" t="s">
        <v>1976</v>
      </c>
      <c r="E614" s="20"/>
      <c r="F614" s="23" t="s">
        <v>254</v>
      </c>
      <c r="H614" s="21" t="s">
        <v>262</v>
      </c>
      <c r="J614" s="21" t="s">
        <v>89</v>
      </c>
      <c r="L614" s="21" t="s">
        <v>737</v>
      </c>
      <c r="N614" s="21" t="s">
        <v>103</v>
      </c>
      <c r="P614" s="21" t="s">
        <v>1977</v>
      </c>
      <c r="R614" s="21" t="s">
        <v>77</v>
      </c>
      <c r="S614" s="20"/>
      <c r="T614" s="58" t="s">
        <v>1978</v>
      </c>
      <c r="V614" s="26" t="s">
        <v>79</v>
      </c>
      <c r="W614" s="60"/>
      <c r="X614" s="26" t="s">
        <v>80</v>
      </c>
      <c r="Y614" s="60"/>
      <c r="Z614" s="26" t="s">
        <v>79</v>
      </c>
      <c r="AA614" s="60"/>
      <c r="AB614" s="26" t="s">
        <v>80</v>
      </c>
      <c r="AD614" s="23" t="s">
        <v>1979</v>
      </c>
    </row>
    <row r="615" spans="2:30" ht="68.099999999999994" customHeight="1">
      <c r="B615" s="21" t="s">
        <v>1120</v>
      </c>
      <c r="C615" s="20"/>
      <c r="D615" s="21" t="s">
        <v>1976</v>
      </c>
      <c r="E615" s="20"/>
      <c r="F615" s="23" t="s">
        <v>254</v>
      </c>
      <c r="H615" s="21" t="s">
        <v>364</v>
      </c>
      <c r="J615" s="21" t="s">
        <v>89</v>
      </c>
      <c r="L615" s="21" t="s">
        <v>737</v>
      </c>
      <c r="N615" s="21" t="s">
        <v>103</v>
      </c>
      <c r="P615" s="21" t="s">
        <v>1980</v>
      </c>
      <c r="R615" s="21" t="s">
        <v>77</v>
      </c>
      <c r="S615" s="20"/>
      <c r="T615" s="58" t="s">
        <v>1978</v>
      </c>
      <c r="V615" s="26" t="s">
        <v>79</v>
      </c>
      <c r="W615" s="60"/>
      <c r="X615" s="26" t="s">
        <v>80</v>
      </c>
      <c r="Y615" s="60"/>
      <c r="Z615" s="26" t="s">
        <v>79</v>
      </c>
      <c r="AA615" s="60"/>
      <c r="AB615" s="26" t="s">
        <v>80</v>
      </c>
      <c r="AC615" s="60"/>
      <c r="AD615" s="23" t="s">
        <v>1981</v>
      </c>
    </row>
    <row r="616" spans="2:30" ht="66" customHeight="1">
      <c r="B616" s="21" t="s">
        <v>1124</v>
      </c>
      <c r="C616" s="20"/>
      <c r="D616" s="21" t="s">
        <v>1976</v>
      </c>
      <c r="E616" s="20"/>
      <c r="F616" s="23" t="s">
        <v>254</v>
      </c>
      <c r="H616" s="21" t="s">
        <v>364</v>
      </c>
      <c r="J616" s="21" t="s">
        <v>89</v>
      </c>
      <c r="L616" s="21" t="s">
        <v>737</v>
      </c>
      <c r="N616" s="21" t="s">
        <v>103</v>
      </c>
      <c r="P616" s="21" t="s">
        <v>1982</v>
      </c>
      <c r="R616" s="21" t="s">
        <v>77</v>
      </c>
      <c r="S616" s="20"/>
      <c r="T616" s="58" t="s">
        <v>1978</v>
      </c>
      <c r="V616" s="26" t="s">
        <v>79</v>
      </c>
      <c r="W616" s="60"/>
      <c r="X616" s="26" t="s">
        <v>80</v>
      </c>
      <c r="Y616" s="60"/>
      <c r="Z616" s="26" t="s">
        <v>79</v>
      </c>
      <c r="AA616" s="60"/>
      <c r="AB616" s="26" t="s">
        <v>80</v>
      </c>
      <c r="AC616" s="60"/>
      <c r="AD616" s="23" t="s">
        <v>1983</v>
      </c>
    </row>
    <row r="617" spans="2:30" ht="119.1">
      <c r="B617" s="21" t="s">
        <v>1145</v>
      </c>
      <c r="C617" s="20"/>
      <c r="D617" s="21" t="s">
        <v>1976</v>
      </c>
      <c r="E617" s="20"/>
      <c r="F617" s="23" t="s">
        <v>254</v>
      </c>
      <c r="H617" s="21" t="s">
        <v>364</v>
      </c>
      <c r="J617" s="21" t="s">
        <v>89</v>
      </c>
      <c r="L617" s="21" t="s">
        <v>737</v>
      </c>
      <c r="N617" s="21" t="s">
        <v>185</v>
      </c>
      <c r="P617" s="21" t="s">
        <v>1984</v>
      </c>
      <c r="R617" s="21" t="s">
        <v>77</v>
      </c>
      <c r="S617" s="20"/>
      <c r="T617" s="58" t="s">
        <v>1978</v>
      </c>
      <c r="V617" s="26" t="s">
        <v>79</v>
      </c>
      <c r="W617" s="60"/>
      <c r="X617" s="26" t="s">
        <v>80</v>
      </c>
      <c r="Y617" s="60"/>
      <c r="Z617" s="26" t="s">
        <v>79</v>
      </c>
      <c r="AA617" s="60"/>
      <c r="AB617" s="26" t="s">
        <v>80</v>
      </c>
      <c r="AC617" s="60"/>
      <c r="AD617" s="23" t="s">
        <v>1985</v>
      </c>
    </row>
    <row r="618" spans="2:30" ht="71.099999999999994" customHeight="1">
      <c r="B618" s="21" t="s">
        <v>1148</v>
      </c>
      <c r="C618" s="20"/>
      <c r="D618" s="21" t="s">
        <v>1976</v>
      </c>
      <c r="E618" s="20"/>
      <c r="F618" s="23" t="s">
        <v>254</v>
      </c>
      <c r="H618" s="21" t="s">
        <v>364</v>
      </c>
      <c r="J618" s="21" t="s">
        <v>89</v>
      </c>
      <c r="L618" s="21" t="s">
        <v>737</v>
      </c>
      <c r="N618" s="21" t="s">
        <v>185</v>
      </c>
      <c r="P618" s="21" t="s">
        <v>1986</v>
      </c>
      <c r="R618" s="21" t="s">
        <v>77</v>
      </c>
      <c r="S618" s="20"/>
      <c r="T618" s="58" t="s">
        <v>1978</v>
      </c>
      <c r="V618" s="26" t="s">
        <v>79</v>
      </c>
      <c r="W618" s="60"/>
      <c r="X618" s="26" t="s">
        <v>80</v>
      </c>
      <c r="Y618" s="60"/>
      <c r="Z618" s="26" t="s">
        <v>79</v>
      </c>
      <c r="AA618" s="60"/>
      <c r="AB618" s="26" t="s">
        <v>80</v>
      </c>
      <c r="AC618" s="60"/>
      <c r="AD618" s="23" t="s">
        <v>1987</v>
      </c>
    </row>
    <row r="619" spans="2:30" ht="63" customHeight="1">
      <c r="B619" s="21" t="s">
        <v>1130</v>
      </c>
      <c r="C619" s="20"/>
      <c r="D619" s="21" t="s">
        <v>1976</v>
      </c>
      <c r="E619" s="20"/>
      <c r="F619" s="23" t="s">
        <v>254</v>
      </c>
      <c r="H619" s="21" t="s">
        <v>291</v>
      </c>
      <c r="J619" s="21" t="s">
        <v>89</v>
      </c>
      <c r="L619" s="21" t="s">
        <v>737</v>
      </c>
      <c r="N619" s="21" t="s">
        <v>185</v>
      </c>
      <c r="P619" s="21" t="s">
        <v>1988</v>
      </c>
      <c r="R619" s="21" t="s">
        <v>77</v>
      </c>
      <c r="S619" s="20"/>
      <c r="T619" s="58" t="s">
        <v>1978</v>
      </c>
      <c r="V619" s="26" t="s">
        <v>79</v>
      </c>
      <c r="W619" s="60"/>
      <c r="X619" s="26" t="s">
        <v>80</v>
      </c>
      <c r="Y619" s="60"/>
      <c r="Z619" s="26" t="s">
        <v>79</v>
      </c>
      <c r="AA619" s="60"/>
      <c r="AB619" s="26" t="s">
        <v>80</v>
      </c>
      <c r="AC619" s="60"/>
      <c r="AD619" s="23" t="s">
        <v>1989</v>
      </c>
    </row>
    <row r="620" spans="2:30" ht="65.099999999999994" customHeight="1">
      <c r="B620" s="21" t="s">
        <v>1153</v>
      </c>
      <c r="C620" s="20"/>
      <c r="D620" s="21" t="s">
        <v>1976</v>
      </c>
      <c r="E620" s="20"/>
      <c r="F620" s="23" t="s">
        <v>254</v>
      </c>
      <c r="H620" s="21" t="s">
        <v>291</v>
      </c>
      <c r="J620" s="21" t="s">
        <v>89</v>
      </c>
      <c r="L620" s="21" t="s">
        <v>737</v>
      </c>
      <c r="N620" s="21" t="s">
        <v>185</v>
      </c>
      <c r="P620" s="21" t="s">
        <v>1990</v>
      </c>
      <c r="R620" s="21" t="s">
        <v>77</v>
      </c>
      <c r="S620" s="20"/>
      <c r="T620" s="58" t="s">
        <v>1978</v>
      </c>
      <c r="V620" s="26" t="s">
        <v>79</v>
      </c>
      <c r="W620" s="60"/>
      <c r="X620" s="26" t="s">
        <v>80</v>
      </c>
      <c r="Y620" s="60"/>
      <c r="Z620" s="26" t="s">
        <v>79</v>
      </c>
      <c r="AA620" s="60"/>
      <c r="AB620" s="23" t="s">
        <v>753</v>
      </c>
      <c r="AC620" s="60"/>
      <c r="AD620" s="23" t="s">
        <v>1991</v>
      </c>
    </row>
    <row r="621" spans="2:30" ht="84.95">
      <c r="B621" s="21" t="s">
        <v>1156</v>
      </c>
      <c r="C621" s="20"/>
      <c r="D621" s="21" t="s">
        <v>1976</v>
      </c>
      <c r="E621" s="20"/>
      <c r="F621" s="23" t="s">
        <v>254</v>
      </c>
      <c r="H621" s="21" t="s">
        <v>291</v>
      </c>
      <c r="J621" s="21" t="s">
        <v>89</v>
      </c>
      <c r="L621" s="21" t="s">
        <v>737</v>
      </c>
      <c r="N621" s="21" t="s">
        <v>185</v>
      </c>
      <c r="P621" s="21" t="s">
        <v>1531</v>
      </c>
      <c r="R621" s="21" t="s">
        <v>77</v>
      </c>
      <c r="S621" s="20"/>
      <c r="T621" s="58" t="s">
        <v>1978</v>
      </c>
      <c r="V621" s="26" t="s">
        <v>79</v>
      </c>
      <c r="W621" s="60"/>
      <c r="X621" s="26" t="s">
        <v>80</v>
      </c>
      <c r="Y621" s="60"/>
      <c r="Z621" s="26" t="s">
        <v>79</v>
      </c>
      <c r="AA621" s="60"/>
      <c r="AB621" s="26" t="s">
        <v>80</v>
      </c>
      <c r="AC621" s="60"/>
      <c r="AD621" s="23" t="s">
        <v>1992</v>
      </c>
    </row>
    <row r="622" spans="2:30" ht="84.95">
      <c r="B622" s="21" t="s">
        <v>1993</v>
      </c>
      <c r="C622" s="20"/>
      <c r="D622" s="21" t="s">
        <v>1994</v>
      </c>
      <c r="E622" s="20"/>
      <c r="F622" s="23" t="s">
        <v>254</v>
      </c>
      <c r="H622" s="21" t="s">
        <v>262</v>
      </c>
      <c r="J622" s="21" t="s">
        <v>89</v>
      </c>
      <c r="L622" s="21" t="s">
        <v>737</v>
      </c>
      <c r="N622" s="21" t="s">
        <v>103</v>
      </c>
      <c r="P622" s="21" t="s">
        <v>1995</v>
      </c>
      <c r="R622" s="21" t="s">
        <v>77</v>
      </c>
      <c r="S622" s="20"/>
      <c r="T622" s="58" t="s">
        <v>1996</v>
      </c>
      <c r="V622" s="26" t="s">
        <v>79</v>
      </c>
      <c r="W622" s="60"/>
      <c r="X622" s="26" t="s">
        <v>80</v>
      </c>
      <c r="Y622" s="60"/>
      <c r="Z622" s="26" t="s">
        <v>79</v>
      </c>
      <c r="AA622" s="60"/>
      <c r="AB622" s="26" t="s">
        <v>80</v>
      </c>
      <c r="AD622" s="23" t="s">
        <v>1997</v>
      </c>
    </row>
    <row r="623" spans="2:30" ht="72.95" customHeight="1">
      <c r="B623" s="21" t="s">
        <v>1120</v>
      </c>
      <c r="C623" s="20"/>
      <c r="D623" s="21" t="s">
        <v>1994</v>
      </c>
      <c r="E623" s="20"/>
      <c r="F623" s="23" t="s">
        <v>254</v>
      </c>
      <c r="H623" s="21" t="s">
        <v>364</v>
      </c>
      <c r="J623" s="21" t="s">
        <v>89</v>
      </c>
      <c r="L623" s="21" t="s">
        <v>737</v>
      </c>
      <c r="N623" s="21" t="s">
        <v>103</v>
      </c>
      <c r="P623" s="21" t="s">
        <v>1998</v>
      </c>
      <c r="R623" s="21" t="s">
        <v>77</v>
      </c>
      <c r="S623" s="20"/>
      <c r="T623" s="58" t="s">
        <v>1996</v>
      </c>
      <c r="V623" s="26" t="s">
        <v>79</v>
      </c>
      <c r="W623" s="60"/>
      <c r="X623" s="26" t="s">
        <v>80</v>
      </c>
      <c r="Y623" s="60"/>
      <c r="Z623" s="26" t="s">
        <v>79</v>
      </c>
      <c r="AA623" s="60"/>
      <c r="AB623" s="26" t="s">
        <v>80</v>
      </c>
      <c r="AC623" s="60"/>
      <c r="AD623" s="23" t="s">
        <v>1999</v>
      </c>
    </row>
    <row r="624" spans="2:30" ht="60.95" customHeight="1">
      <c r="B624" s="21" t="s">
        <v>1124</v>
      </c>
      <c r="C624" s="20"/>
      <c r="D624" s="21" t="s">
        <v>1994</v>
      </c>
      <c r="E624" s="20"/>
      <c r="F624" s="23" t="s">
        <v>254</v>
      </c>
      <c r="H624" s="21" t="s">
        <v>364</v>
      </c>
      <c r="J624" s="21" t="s">
        <v>89</v>
      </c>
      <c r="L624" s="21" t="s">
        <v>737</v>
      </c>
      <c r="N624" s="21" t="s">
        <v>103</v>
      </c>
      <c r="P624" s="21" t="s">
        <v>2000</v>
      </c>
      <c r="R624" s="21" t="s">
        <v>77</v>
      </c>
      <c r="S624" s="20"/>
      <c r="T624" s="58" t="s">
        <v>1996</v>
      </c>
      <c r="V624" s="26" t="s">
        <v>79</v>
      </c>
      <c r="W624" s="60"/>
      <c r="X624" s="26" t="s">
        <v>80</v>
      </c>
      <c r="Y624" s="60"/>
      <c r="Z624" s="26" t="s">
        <v>79</v>
      </c>
      <c r="AA624" s="60"/>
      <c r="AB624" s="26" t="s">
        <v>80</v>
      </c>
      <c r="AC624" s="60"/>
      <c r="AD624" s="23" t="s">
        <v>2001</v>
      </c>
    </row>
    <row r="625" spans="2:30" ht="63.95" customHeight="1">
      <c r="B625" s="21" t="s">
        <v>2002</v>
      </c>
      <c r="C625" s="20"/>
      <c r="D625" s="21" t="s">
        <v>1994</v>
      </c>
      <c r="E625" s="20"/>
      <c r="F625" s="23" t="s">
        <v>254</v>
      </c>
      <c r="H625" s="21" t="s">
        <v>364</v>
      </c>
      <c r="J625" s="21" t="s">
        <v>89</v>
      </c>
      <c r="L625" s="21" t="s">
        <v>737</v>
      </c>
      <c r="N625" s="21" t="s">
        <v>185</v>
      </c>
      <c r="P625" s="21" t="s">
        <v>2003</v>
      </c>
      <c r="R625" s="21" t="s">
        <v>77</v>
      </c>
      <c r="S625" s="20"/>
      <c r="T625" s="58" t="s">
        <v>1996</v>
      </c>
      <c r="V625" s="26" t="s">
        <v>79</v>
      </c>
      <c r="W625" s="60"/>
      <c r="X625" s="26" t="s">
        <v>80</v>
      </c>
      <c r="Y625" s="60"/>
      <c r="Z625" s="26" t="s">
        <v>79</v>
      </c>
      <c r="AA625" s="60"/>
      <c r="AB625" s="26" t="s">
        <v>80</v>
      </c>
      <c r="AC625" s="60"/>
      <c r="AD625" s="23" t="s">
        <v>2004</v>
      </c>
    </row>
    <row r="626" spans="2:30" ht="63.95" customHeight="1">
      <c r="B626" s="21" t="s">
        <v>1130</v>
      </c>
      <c r="C626" s="20"/>
      <c r="D626" s="21" t="s">
        <v>1994</v>
      </c>
      <c r="E626" s="20"/>
      <c r="F626" s="23" t="s">
        <v>254</v>
      </c>
      <c r="H626" s="21" t="s">
        <v>291</v>
      </c>
      <c r="J626" s="21" t="s">
        <v>89</v>
      </c>
      <c r="L626" s="21" t="s">
        <v>737</v>
      </c>
      <c r="N626" s="21" t="s">
        <v>185</v>
      </c>
      <c r="P626" s="21" t="s">
        <v>2005</v>
      </c>
      <c r="R626" s="21" t="s">
        <v>77</v>
      </c>
      <c r="S626" s="20"/>
      <c r="T626" s="58" t="s">
        <v>1996</v>
      </c>
      <c r="V626" s="26" t="s">
        <v>79</v>
      </c>
      <c r="W626" s="60"/>
      <c r="X626" s="26" t="s">
        <v>80</v>
      </c>
      <c r="Y626" s="60"/>
      <c r="Z626" s="26" t="s">
        <v>79</v>
      </c>
      <c r="AA626" s="60"/>
      <c r="AB626" s="26" t="s">
        <v>80</v>
      </c>
      <c r="AC626" s="60"/>
      <c r="AD626" s="23" t="s">
        <v>2006</v>
      </c>
    </row>
    <row r="627" spans="2:30" ht="66.95" customHeight="1">
      <c r="B627" s="21" t="s">
        <v>1153</v>
      </c>
      <c r="C627" s="20"/>
      <c r="D627" s="21" t="s">
        <v>1994</v>
      </c>
      <c r="E627" s="20"/>
      <c r="F627" s="23" t="s">
        <v>254</v>
      </c>
      <c r="H627" s="21" t="s">
        <v>291</v>
      </c>
      <c r="J627" s="21" t="s">
        <v>89</v>
      </c>
      <c r="L627" s="21" t="s">
        <v>737</v>
      </c>
      <c r="N627" s="21" t="s">
        <v>185</v>
      </c>
      <c r="P627" s="21" t="s">
        <v>2007</v>
      </c>
      <c r="R627" s="21" t="s">
        <v>77</v>
      </c>
      <c r="S627" s="20"/>
      <c r="T627" s="58" t="s">
        <v>1996</v>
      </c>
      <c r="V627" s="26" t="s">
        <v>79</v>
      </c>
      <c r="W627" s="60"/>
      <c r="X627" s="26" t="s">
        <v>80</v>
      </c>
      <c r="Y627" s="60"/>
      <c r="Z627" s="26" t="s">
        <v>79</v>
      </c>
      <c r="AA627" s="60"/>
      <c r="AB627" s="23" t="s">
        <v>753</v>
      </c>
      <c r="AC627" s="60"/>
      <c r="AD627" s="23" t="s">
        <v>2008</v>
      </c>
    </row>
    <row r="628" spans="2:30" ht="84.95">
      <c r="B628" s="21" t="s">
        <v>1134</v>
      </c>
      <c r="C628" s="20"/>
      <c r="D628" s="21" t="s">
        <v>1994</v>
      </c>
      <c r="E628" s="20"/>
      <c r="F628" s="23" t="s">
        <v>254</v>
      </c>
      <c r="H628" s="21" t="s">
        <v>291</v>
      </c>
      <c r="J628" s="21" t="s">
        <v>89</v>
      </c>
      <c r="L628" s="21" t="s">
        <v>737</v>
      </c>
      <c r="N628" s="21" t="s">
        <v>185</v>
      </c>
      <c r="P628" s="21" t="s">
        <v>1135</v>
      </c>
      <c r="R628" s="21" t="s">
        <v>77</v>
      </c>
      <c r="S628" s="20"/>
      <c r="T628" s="58" t="s">
        <v>1996</v>
      </c>
      <c r="V628" s="26" t="s">
        <v>79</v>
      </c>
      <c r="W628" s="60"/>
      <c r="X628" s="26" t="s">
        <v>80</v>
      </c>
      <c r="Y628" s="60"/>
      <c r="Z628" s="26" t="s">
        <v>79</v>
      </c>
      <c r="AA628" s="60"/>
      <c r="AB628" s="26" t="s">
        <v>80</v>
      </c>
      <c r="AC628" s="60"/>
      <c r="AD628" s="23" t="s">
        <v>2009</v>
      </c>
    </row>
    <row r="629" spans="2:30" ht="68.099999999999994">
      <c r="B629" s="21" t="s">
        <v>2010</v>
      </c>
      <c r="C629" s="20"/>
      <c r="D629" s="21" t="s">
        <v>2011</v>
      </c>
      <c r="E629" s="20"/>
      <c r="F629" s="23" t="s">
        <v>254</v>
      </c>
      <c r="H629" s="21" t="s">
        <v>262</v>
      </c>
      <c r="J629" s="21" t="s">
        <v>89</v>
      </c>
      <c r="L629" s="21" t="s">
        <v>737</v>
      </c>
      <c r="N629" s="21" t="s">
        <v>103</v>
      </c>
      <c r="P629" s="21" t="s">
        <v>2012</v>
      </c>
      <c r="R629" s="21" t="s">
        <v>77</v>
      </c>
      <c r="S629" s="20"/>
      <c r="T629" s="58" t="s">
        <v>2013</v>
      </c>
      <c r="V629" s="26" t="s">
        <v>79</v>
      </c>
      <c r="W629" s="60"/>
      <c r="X629" s="26" t="s">
        <v>80</v>
      </c>
      <c r="Y629" s="60"/>
      <c r="Z629" s="26" t="s">
        <v>79</v>
      </c>
      <c r="AA629" s="60"/>
      <c r="AB629" s="26" t="s">
        <v>80</v>
      </c>
      <c r="AD629" s="23" t="s">
        <v>2014</v>
      </c>
    </row>
    <row r="630" spans="2:30" ht="66.95" customHeight="1">
      <c r="B630" s="21" t="s">
        <v>1199</v>
      </c>
      <c r="C630" s="20"/>
      <c r="D630" s="21" t="s">
        <v>2011</v>
      </c>
      <c r="E630" s="20"/>
      <c r="F630" s="23" t="s">
        <v>254</v>
      </c>
      <c r="H630" s="21" t="s">
        <v>298</v>
      </c>
      <c r="J630" s="21" t="s">
        <v>89</v>
      </c>
      <c r="L630" s="21" t="s">
        <v>737</v>
      </c>
      <c r="N630" s="21" t="s">
        <v>103</v>
      </c>
      <c r="P630" s="21" t="s">
        <v>2015</v>
      </c>
      <c r="R630" s="21" t="s">
        <v>77</v>
      </c>
      <c r="S630" s="20"/>
      <c r="T630" s="58" t="s">
        <v>2013</v>
      </c>
      <c r="V630" s="26" t="s">
        <v>79</v>
      </c>
      <c r="W630" s="60"/>
      <c r="X630" s="26" t="s">
        <v>80</v>
      </c>
      <c r="Y630" s="60"/>
      <c r="Z630" s="26" t="s">
        <v>79</v>
      </c>
      <c r="AA630" s="60"/>
      <c r="AB630" s="26" t="s">
        <v>80</v>
      </c>
      <c r="AC630" s="60"/>
      <c r="AD630" s="23" t="s">
        <v>2016</v>
      </c>
    </row>
    <row r="631" spans="2:30" ht="60" customHeight="1">
      <c r="B631" s="21" t="s">
        <v>1120</v>
      </c>
      <c r="C631" s="20"/>
      <c r="D631" s="21" t="s">
        <v>2011</v>
      </c>
      <c r="E631" s="20"/>
      <c r="F631" s="23" t="s">
        <v>254</v>
      </c>
      <c r="H631" s="21" t="s">
        <v>364</v>
      </c>
      <c r="J631" s="21" t="s">
        <v>89</v>
      </c>
      <c r="L631" s="21" t="s">
        <v>737</v>
      </c>
      <c r="N631" s="21" t="s">
        <v>103</v>
      </c>
      <c r="P631" s="21" t="s">
        <v>2017</v>
      </c>
      <c r="R631" s="21" t="s">
        <v>77</v>
      </c>
      <c r="S631" s="20"/>
      <c r="T631" s="58" t="s">
        <v>2013</v>
      </c>
      <c r="V631" s="26" t="s">
        <v>79</v>
      </c>
      <c r="W631" s="60"/>
      <c r="X631" s="26" t="s">
        <v>80</v>
      </c>
      <c r="Y631" s="60"/>
      <c r="Z631" s="26" t="s">
        <v>79</v>
      </c>
      <c r="AA631" s="60"/>
      <c r="AB631" s="26" t="s">
        <v>80</v>
      </c>
      <c r="AC631" s="60"/>
      <c r="AD631" s="23" t="s">
        <v>2018</v>
      </c>
    </row>
    <row r="632" spans="2:30" ht="63" customHeight="1">
      <c r="B632" s="21" t="s">
        <v>1124</v>
      </c>
      <c r="C632" s="20"/>
      <c r="D632" s="21" t="s">
        <v>2011</v>
      </c>
      <c r="E632" s="20"/>
      <c r="F632" s="23" t="s">
        <v>254</v>
      </c>
      <c r="H632" s="21" t="s">
        <v>364</v>
      </c>
      <c r="J632" s="21" t="s">
        <v>89</v>
      </c>
      <c r="L632" s="21" t="s">
        <v>737</v>
      </c>
      <c r="N632" s="21" t="s">
        <v>103</v>
      </c>
      <c r="P632" s="21" t="s">
        <v>2019</v>
      </c>
      <c r="R632" s="21" t="s">
        <v>77</v>
      </c>
      <c r="S632" s="20"/>
      <c r="T632" s="58" t="s">
        <v>2013</v>
      </c>
      <c r="V632" s="26" t="s">
        <v>79</v>
      </c>
      <c r="W632" s="60"/>
      <c r="X632" s="26" t="s">
        <v>80</v>
      </c>
      <c r="Y632" s="60"/>
      <c r="Z632" s="26" t="s">
        <v>79</v>
      </c>
      <c r="AA632" s="60"/>
      <c r="AB632" s="26" t="s">
        <v>80</v>
      </c>
      <c r="AC632" s="60"/>
      <c r="AD632" s="23" t="s">
        <v>2020</v>
      </c>
    </row>
    <row r="633" spans="2:30" ht="170.1">
      <c r="B633" s="21" t="s">
        <v>1145</v>
      </c>
      <c r="C633" s="20"/>
      <c r="D633" s="21" t="s">
        <v>2011</v>
      </c>
      <c r="E633" s="20"/>
      <c r="F633" s="23" t="s">
        <v>254</v>
      </c>
      <c r="H633" s="21" t="s">
        <v>364</v>
      </c>
      <c r="J633" s="21" t="s">
        <v>89</v>
      </c>
      <c r="L633" s="21" t="s">
        <v>737</v>
      </c>
      <c r="N633" s="21" t="s">
        <v>185</v>
      </c>
      <c r="P633" s="21" t="s">
        <v>2021</v>
      </c>
      <c r="R633" s="21" t="s">
        <v>77</v>
      </c>
      <c r="S633" s="20"/>
      <c r="T633" s="58" t="s">
        <v>2013</v>
      </c>
      <c r="V633" s="26" t="s">
        <v>79</v>
      </c>
      <c r="W633" s="60"/>
      <c r="X633" s="26" t="s">
        <v>80</v>
      </c>
      <c r="Y633" s="60"/>
      <c r="Z633" s="26" t="s">
        <v>79</v>
      </c>
      <c r="AA633" s="60"/>
      <c r="AB633" s="26" t="s">
        <v>80</v>
      </c>
      <c r="AC633" s="60"/>
      <c r="AD633" s="23" t="s">
        <v>2022</v>
      </c>
    </row>
    <row r="634" spans="2:30" ht="62.1" customHeight="1">
      <c r="B634" s="21" t="s">
        <v>1148</v>
      </c>
      <c r="C634" s="20"/>
      <c r="D634" s="21" t="s">
        <v>2011</v>
      </c>
      <c r="E634" s="20"/>
      <c r="F634" s="23" t="s">
        <v>254</v>
      </c>
      <c r="H634" s="21" t="s">
        <v>364</v>
      </c>
      <c r="J634" s="21" t="s">
        <v>89</v>
      </c>
      <c r="L634" s="21" t="s">
        <v>737</v>
      </c>
      <c r="N634" s="21" t="s">
        <v>185</v>
      </c>
      <c r="P634" s="21" t="s">
        <v>2023</v>
      </c>
      <c r="R634" s="21" t="s">
        <v>77</v>
      </c>
      <c r="S634" s="20"/>
      <c r="T634" s="58" t="s">
        <v>2013</v>
      </c>
      <c r="V634" s="26" t="s">
        <v>79</v>
      </c>
      <c r="W634" s="60"/>
      <c r="X634" s="26" t="s">
        <v>80</v>
      </c>
      <c r="Y634" s="60"/>
      <c r="Z634" s="26" t="s">
        <v>79</v>
      </c>
      <c r="AA634" s="60"/>
      <c r="AB634" s="26" t="s">
        <v>80</v>
      </c>
      <c r="AC634" s="60"/>
      <c r="AD634" s="23" t="s">
        <v>2024</v>
      </c>
    </row>
    <row r="635" spans="2:30" ht="65.099999999999994" customHeight="1">
      <c r="B635" s="21" t="s">
        <v>1130</v>
      </c>
      <c r="C635" s="20"/>
      <c r="D635" s="21" t="s">
        <v>2011</v>
      </c>
      <c r="E635" s="20"/>
      <c r="F635" s="23" t="s">
        <v>254</v>
      </c>
      <c r="H635" s="21" t="s">
        <v>291</v>
      </c>
      <c r="J635" s="21" t="s">
        <v>89</v>
      </c>
      <c r="L635" s="21" t="s">
        <v>737</v>
      </c>
      <c r="N635" s="21" t="s">
        <v>185</v>
      </c>
      <c r="P635" s="21" t="s">
        <v>2025</v>
      </c>
      <c r="R635" s="21" t="s">
        <v>77</v>
      </c>
      <c r="S635" s="20"/>
      <c r="T635" s="58" t="s">
        <v>2013</v>
      </c>
      <c r="V635" s="26" t="s">
        <v>79</v>
      </c>
      <c r="W635" s="60"/>
      <c r="X635" s="26" t="s">
        <v>80</v>
      </c>
      <c r="Y635" s="60"/>
      <c r="Z635" s="26" t="s">
        <v>79</v>
      </c>
      <c r="AA635" s="60"/>
      <c r="AB635" s="26" t="s">
        <v>80</v>
      </c>
      <c r="AC635" s="60"/>
      <c r="AD635" s="23" t="s">
        <v>2026</v>
      </c>
    </row>
    <row r="636" spans="2:30" ht="66" customHeight="1">
      <c r="B636" s="21" t="s">
        <v>1153</v>
      </c>
      <c r="C636" s="20"/>
      <c r="D636" s="21" t="s">
        <v>2011</v>
      </c>
      <c r="E636" s="20"/>
      <c r="F636" s="23" t="s">
        <v>254</v>
      </c>
      <c r="H636" s="21" t="s">
        <v>291</v>
      </c>
      <c r="J636" s="21" t="s">
        <v>89</v>
      </c>
      <c r="L636" s="21" t="s">
        <v>737</v>
      </c>
      <c r="N636" s="21" t="s">
        <v>185</v>
      </c>
      <c r="P636" s="21" t="s">
        <v>2027</v>
      </c>
      <c r="R636" s="21" t="s">
        <v>77</v>
      </c>
      <c r="S636" s="20"/>
      <c r="T636" s="58" t="s">
        <v>2013</v>
      </c>
      <c r="V636" s="26" t="s">
        <v>79</v>
      </c>
      <c r="W636" s="60"/>
      <c r="X636" s="26" t="s">
        <v>80</v>
      </c>
      <c r="Y636" s="60"/>
      <c r="Z636" s="26" t="s">
        <v>79</v>
      </c>
      <c r="AA636" s="60"/>
      <c r="AB636" s="23" t="s">
        <v>753</v>
      </c>
      <c r="AC636" s="60"/>
      <c r="AD636" s="23" t="s">
        <v>2028</v>
      </c>
    </row>
    <row r="637" spans="2:30" ht="84.95">
      <c r="B637" s="21" t="s">
        <v>1156</v>
      </c>
      <c r="C637" s="20"/>
      <c r="D637" s="21" t="s">
        <v>2011</v>
      </c>
      <c r="E637" s="20"/>
      <c r="F637" s="23" t="s">
        <v>254</v>
      </c>
      <c r="H637" s="21" t="s">
        <v>291</v>
      </c>
      <c r="J637" s="21" t="s">
        <v>89</v>
      </c>
      <c r="L637" s="21" t="s">
        <v>737</v>
      </c>
      <c r="N637" s="21" t="s">
        <v>185</v>
      </c>
      <c r="P637" s="21" t="s">
        <v>1135</v>
      </c>
      <c r="R637" s="21" t="s">
        <v>77</v>
      </c>
      <c r="S637" s="20"/>
      <c r="T637" s="58" t="s">
        <v>2013</v>
      </c>
      <c r="V637" s="26" t="s">
        <v>79</v>
      </c>
      <c r="W637" s="60"/>
      <c r="X637" s="26" t="s">
        <v>80</v>
      </c>
      <c r="Y637" s="60"/>
      <c r="Z637" s="26" t="s">
        <v>79</v>
      </c>
      <c r="AA637" s="60"/>
      <c r="AB637" s="26" t="s">
        <v>80</v>
      </c>
      <c r="AC637" s="60"/>
      <c r="AD637" s="23" t="s">
        <v>2029</v>
      </c>
    </row>
    <row r="638" spans="2:30" ht="81" customHeight="1">
      <c r="B638" s="21" t="s">
        <v>2030</v>
      </c>
      <c r="C638" s="20"/>
      <c r="D638" s="21" t="s">
        <v>2031</v>
      </c>
      <c r="E638" s="20"/>
      <c r="F638" s="23" t="s">
        <v>254</v>
      </c>
      <c r="H638" s="21" t="s">
        <v>262</v>
      </c>
      <c r="J638" s="21" t="s">
        <v>89</v>
      </c>
      <c r="L638" s="21" t="s">
        <v>737</v>
      </c>
      <c r="N638" s="21" t="s">
        <v>103</v>
      </c>
      <c r="P638" s="21" t="s">
        <v>2032</v>
      </c>
      <c r="R638" s="21" t="s">
        <v>77</v>
      </c>
      <c r="S638" s="20"/>
      <c r="T638" s="58" t="s">
        <v>2033</v>
      </c>
      <c r="V638" s="26" t="s">
        <v>79</v>
      </c>
      <c r="W638" s="60"/>
      <c r="X638" s="26" t="s">
        <v>80</v>
      </c>
      <c r="Y638" s="60"/>
      <c r="Z638" s="26" t="s">
        <v>79</v>
      </c>
      <c r="AA638" s="60"/>
      <c r="AB638" s="26" t="s">
        <v>80</v>
      </c>
      <c r="AD638" s="23" t="s">
        <v>2034</v>
      </c>
    </row>
    <row r="639" spans="2:30" ht="81" customHeight="1">
      <c r="B639" s="21" t="s">
        <v>1199</v>
      </c>
      <c r="C639" s="20"/>
      <c r="D639" s="21" t="s">
        <v>2031</v>
      </c>
      <c r="E639" s="20"/>
      <c r="F639" s="23" t="s">
        <v>254</v>
      </c>
      <c r="H639" s="21" t="s">
        <v>298</v>
      </c>
      <c r="J639" s="21" t="s">
        <v>89</v>
      </c>
      <c r="L639" s="21" t="s">
        <v>737</v>
      </c>
      <c r="N639" s="21" t="s">
        <v>103</v>
      </c>
      <c r="P639" s="21" t="s">
        <v>2035</v>
      </c>
      <c r="R639" s="21" t="s">
        <v>77</v>
      </c>
      <c r="S639" s="20"/>
      <c r="T639" s="58" t="s">
        <v>2033</v>
      </c>
      <c r="V639" s="26" t="s">
        <v>79</v>
      </c>
      <c r="W639" s="60"/>
      <c r="X639" s="26" t="s">
        <v>80</v>
      </c>
      <c r="Y639" s="60"/>
      <c r="Z639" s="26" t="s">
        <v>79</v>
      </c>
      <c r="AA639" s="60"/>
      <c r="AB639" s="26" t="s">
        <v>80</v>
      </c>
      <c r="AC639" s="60"/>
      <c r="AD639" s="23" t="s">
        <v>2034</v>
      </c>
    </row>
    <row r="640" spans="2:30" ht="84" customHeight="1">
      <c r="B640" s="21" t="s">
        <v>1120</v>
      </c>
      <c r="C640" s="20"/>
      <c r="D640" s="21" t="s">
        <v>2031</v>
      </c>
      <c r="E640" s="20"/>
      <c r="F640" s="23" t="s">
        <v>254</v>
      </c>
      <c r="H640" s="21" t="s">
        <v>364</v>
      </c>
      <c r="J640" s="21" t="s">
        <v>89</v>
      </c>
      <c r="L640" s="21" t="s">
        <v>737</v>
      </c>
      <c r="N640" s="21" t="s">
        <v>103</v>
      </c>
      <c r="P640" s="21" t="s">
        <v>2036</v>
      </c>
      <c r="R640" s="21" t="s">
        <v>77</v>
      </c>
      <c r="S640" s="20"/>
      <c r="T640" s="58" t="s">
        <v>2033</v>
      </c>
      <c r="V640" s="26" t="s">
        <v>79</v>
      </c>
      <c r="W640" s="60"/>
      <c r="X640" s="26" t="s">
        <v>80</v>
      </c>
      <c r="Y640" s="60"/>
      <c r="Z640" s="26" t="s">
        <v>79</v>
      </c>
      <c r="AA640" s="60"/>
      <c r="AB640" s="26" t="s">
        <v>80</v>
      </c>
      <c r="AC640" s="60"/>
      <c r="AD640" s="23" t="s">
        <v>2037</v>
      </c>
    </row>
    <row r="641" spans="2:30" ht="87" customHeight="1">
      <c r="B641" s="21" t="s">
        <v>1124</v>
      </c>
      <c r="C641" s="20"/>
      <c r="D641" s="21" t="s">
        <v>2031</v>
      </c>
      <c r="E641" s="20"/>
      <c r="F641" s="23" t="s">
        <v>254</v>
      </c>
      <c r="H641" s="21" t="s">
        <v>364</v>
      </c>
      <c r="J641" s="21" t="s">
        <v>89</v>
      </c>
      <c r="L641" s="21" t="s">
        <v>737</v>
      </c>
      <c r="N641" s="21" t="s">
        <v>103</v>
      </c>
      <c r="P641" s="21" t="s">
        <v>2038</v>
      </c>
      <c r="R641" s="21" t="s">
        <v>77</v>
      </c>
      <c r="S641" s="20"/>
      <c r="T641" s="58" t="s">
        <v>2033</v>
      </c>
      <c r="V641" s="26" t="s">
        <v>79</v>
      </c>
      <c r="W641" s="60"/>
      <c r="X641" s="26" t="s">
        <v>80</v>
      </c>
      <c r="Y641" s="60"/>
      <c r="Z641" s="26" t="s">
        <v>79</v>
      </c>
      <c r="AA641" s="60"/>
      <c r="AB641" s="26" t="s">
        <v>80</v>
      </c>
      <c r="AC641" s="60"/>
      <c r="AD641" s="23" t="s">
        <v>2039</v>
      </c>
    </row>
    <row r="642" spans="2:30" ht="186.95">
      <c r="B642" s="21" t="s">
        <v>1145</v>
      </c>
      <c r="C642" s="20"/>
      <c r="D642" s="21" t="s">
        <v>2031</v>
      </c>
      <c r="E642" s="20"/>
      <c r="F642" s="23" t="s">
        <v>254</v>
      </c>
      <c r="H642" s="21" t="s">
        <v>364</v>
      </c>
      <c r="J642" s="21" t="s">
        <v>89</v>
      </c>
      <c r="L642" s="21" t="s">
        <v>737</v>
      </c>
      <c r="N642" s="21" t="s">
        <v>185</v>
      </c>
      <c r="P642" s="21" t="s">
        <v>2040</v>
      </c>
      <c r="R642" s="21" t="s">
        <v>77</v>
      </c>
      <c r="S642" s="20"/>
      <c r="T642" s="58" t="s">
        <v>2033</v>
      </c>
      <c r="V642" s="26" t="s">
        <v>79</v>
      </c>
      <c r="W642" s="60"/>
      <c r="X642" s="26" t="s">
        <v>80</v>
      </c>
      <c r="Y642" s="60"/>
      <c r="Z642" s="26" t="s">
        <v>79</v>
      </c>
      <c r="AA642" s="60"/>
      <c r="AB642" s="26" t="s">
        <v>80</v>
      </c>
      <c r="AC642" s="60"/>
      <c r="AD642" s="23" t="s">
        <v>2041</v>
      </c>
    </row>
    <row r="643" spans="2:30" ht="80.099999999999994" customHeight="1">
      <c r="B643" s="21" t="s">
        <v>1148</v>
      </c>
      <c r="C643" s="20"/>
      <c r="D643" s="21" t="s">
        <v>2031</v>
      </c>
      <c r="E643" s="20"/>
      <c r="F643" s="23" t="s">
        <v>254</v>
      </c>
      <c r="H643" s="21" t="s">
        <v>364</v>
      </c>
      <c r="J643" s="21" t="s">
        <v>89</v>
      </c>
      <c r="L643" s="21" t="s">
        <v>737</v>
      </c>
      <c r="N643" s="21" t="s">
        <v>185</v>
      </c>
      <c r="P643" s="21" t="s">
        <v>2042</v>
      </c>
      <c r="R643" s="21" t="s">
        <v>77</v>
      </c>
      <c r="S643" s="20"/>
      <c r="T643" s="58" t="s">
        <v>2033</v>
      </c>
      <c r="V643" s="26" t="s">
        <v>79</v>
      </c>
      <c r="W643" s="60"/>
      <c r="X643" s="26" t="s">
        <v>80</v>
      </c>
      <c r="Y643" s="60"/>
      <c r="Z643" s="26" t="s">
        <v>79</v>
      </c>
      <c r="AA643" s="60"/>
      <c r="AB643" s="26" t="s">
        <v>80</v>
      </c>
      <c r="AC643" s="60"/>
      <c r="AD643" s="23" t="s">
        <v>2043</v>
      </c>
    </row>
    <row r="644" spans="2:30" ht="81" customHeight="1">
      <c r="B644" s="21" t="s">
        <v>1130</v>
      </c>
      <c r="C644" s="20"/>
      <c r="D644" s="21" t="s">
        <v>2031</v>
      </c>
      <c r="E644" s="20"/>
      <c r="F644" s="23" t="s">
        <v>254</v>
      </c>
      <c r="H644" s="21" t="s">
        <v>291</v>
      </c>
      <c r="J644" s="21" t="s">
        <v>89</v>
      </c>
      <c r="L644" s="21" t="s">
        <v>737</v>
      </c>
      <c r="N644" s="21" t="s">
        <v>185</v>
      </c>
      <c r="P644" s="21" t="s">
        <v>2044</v>
      </c>
      <c r="R644" s="21" t="s">
        <v>77</v>
      </c>
      <c r="S644" s="20"/>
      <c r="T644" s="58" t="s">
        <v>2033</v>
      </c>
      <c r="V644" s="26" t="s">
        <v>79</v>
      </c>
      <c r="W644" s="60"/>
      <c r="X644" s="26" t="s">
        <v>80</v>
      </c>
      <c r="Y644" s="60"/>
      <c r="Z644" s="26" t="s">
        <v>79</v>
      </c>
      <c r="AA644" s="60"/>
      <c r="AB644" s="26" t="s">
        <v>80</v>
      </c>
      <c r="AC644" s="60"/>
      <c r="AD644" s="23" t="s">
        <v>2045</v>
      </c>
    </row>
    <row r="645" spans="2:30" ht="81" customHeight="1">
      <c r="B645" s="21" t="s">
        <v>1153</v>
      </c>
      <c r="C645" s="20"/>
      <c r="D645" s="21" t="s">
        <v>2031</v>
      </c>
      <c r="E645" s="20"/>
      <c r="F645" s="23" t="s">
        <v>254</v>
      </c>
      <c r="H645" s="21" t="s">
        <v>291</v>
      </c>
      <c r="J645" s="21" t="s">
        <v>89</v>
      </c>
      <c r="L645" s="21" t="s">
        <v>737</v>
      </c>
      <c r="N645" s="21" t="s">
        <v>185</v>
      </c>
      <c r="P645" s="21" t="s">
        <v>2046</v>
      </c>
      <c r="R645" s="21" t="s">
        <v>77</v>
      </c>
      <c r="S645" s="20"/>
      <c r="T645" s="58" t="s">
        <v>2033</v>
      </c>
      <c r="V645" s="26" t="s">
        <v>79</v>
      </c>
      <c r="W645" s="60"/>
      <c r="X645" s="26" t="s">
        <v>80</v>
      </c>
      <c r="Y645" s="60"/>
      <c r="Z645" s="26" t="s">
        <v>79</v>
      </c>
      <c r="AA645" s="60"/>
      <c r="AB645" s="23" t="s">
        <v>753</v>
      </c>
      <c r="AC645" s="60"/>
      <c r="AD645" s="23" t="s">
        <v>2047</v>
      </c>
    </row>
    <row r="646" spans="2:30" ht="84.95">
      <c r="B646" s="21" t="s">
        <v>1156</v>
      </c>
      <c r="C646" s="20"/>
      <c r="D646" s="21" t="s">
        <v>2031</v>
      </c>
      <c r="E646" s="20"/>
      <c r="F646" s="23" t="s">
        <v>254</v>
      </c>
      <c r="H646" s="21" t="s">
        <v>291</v>
      </c>
      <c r="J646" s="21" t="s">
        <v>89</v>
      </c>
      <c r="L646" s="21" t="s">
        <v>737</v>
      </c>
      <c r="N646" s="21" t="s">
        <v>185</v>
      </c>
      <c r="P646" s="21" t="s">
        <v>1135</v>
      </c>
      <c r="R646" s="21" t="s">
        <v>77</v>
      </c>
      <c r="S646" s="20"/>
      <c r="T646" s="58" t="s">
        <v>2033</v>
      </c>
      <c r="V646" s="26" t="s">
        <v>79</v>
      </c>
      <c r="W646" s="60"/>
      <c r="X646" s="26" t="s">
        <v>80</v>
      </c>
      <c r="Y646" s="60"/>
      <c r="Z646" s="26" t="s">
        <v>79</v>
      </c>
      <c r="AA646" s="60"/>
      <c r="AB646" s="26" t="s">
        <v>80</v>
      </c>
      <c r="AC646" s="60"/>
      <c r="AD646" s="23" t="s">
        <v>2048</v>
      </c>
    </row>
    <row r="647" spans="2:30" ht="102">
      <c r="B647" s="21" t="s">
        <v>2049</v>
      </c>
      <c r="C647" s="20"/>
      <c r="D647" s="21" t="s">
        <v>2050</v>
      </c>
      <c r="E647" s="20"/>
      <c r="F647" s="23" t="s">
        <v>254</v>
      </c>
      <c r="H647" s="21" t="s">
        <v>262</v>
      </c>
      <c r="J647" s="21" t="s">
        <v>89</v>
      </c>
      <c r="L647" s="21" t="s">
        <v>737</v>
      </c>
      <c r="N647" s="21" t="s">
        <v>103</v>
      </c>
      <c r="P647" s="21" t="s">
        <v>2051</v>
      </c>
      <c r="R647" s="21" t="s">
        <v>77</v>
      </c>
      <c r="S647" s="20"/>
      <c r="T647" s="58" t="s">
        <v>2052</v>
      </c>
      <c r="V647" s="26" t="s">
        <v>79</v>
      </c>
      <c r="W647" s="60"/>
      <c r="X647" s="26" t="s">
        <v>80</v>
      </c>
      <c r="Y647" s="60"/>
      <c r="Z647" s="26" t="s">
        <v>79</v>
      </c>
      <c r="AA647" s="60"/>
      <c r="AB647" s="26" t="s">
        <v>80</v>
      </c>
      <c r="AD647" s="23" t="s">
        <v>2053</v>
      </c>
    </row>
    <row r="648" spans="2:30" ht="62.1" customHeight="1">
      <c r="B648" s="21" t="s">
        <v>1120</v>
      </c>
      <c r="C648" s="20"/>
      <c r="D648" s="21" t="s">
        <v>2050</v>
      </c>
      <c r="E648" s="20"/>
      <c r="F648" s="23" t="s">
        <v>254</v>
      </c>
      <c r="H648" s="21" t="s">
        <v>364</v>
      </c>
      <c r="J648" s="21" t="s">
        <v>89</v>
      </c>
      <c r="L648" s="21" t="s">
        <v>737</v>
      </c>
      <c r="N648" s="21" t="s">
        <v>103</v>
      </c>
      <c r="P648" s="21" t="s">
        <v>2054</v>
      </c>
      <c r="R648" s="21" t="s">
        <v>77</v>
      </c>
      <c r="S648" s="20"/>
      <c r="T648" s="58" t="s">
        <v>2052</v>
      </c>
      <c r="V648" s="26" t="s">
        <v>79</v>
      </c>
      <c r="W648" s="60"/>
      <c r="X648" s="26" t="s">
        <v>80</v>
      </c>
      <c r="Y648" s="60"/>
      <c r="Z648" s="26" t="s">
        <v>79</v>
      </c>
      <c r="AA648" s="60"/>
      <c r="AB648" s="26" t="s">
        <v>80</v>
      </c>
      <c r="AC648" s="60"/>
      <c r="AD648" s="23" t="s">
        <v>2055</v>
      </c>
    </row>
    <row r="649" spans="2:30" ht="66" customHeight="1">
      <c r="B649" s="21" t="s">
        <v>1124</v>
      </c>
      <c r="C649" s="20"/>
      <c r="D649" s="21" t="s">
        <v>2050</v>
      </c>
      <c r="E649" s="20"/>
      <c r="F649" s="23" t="s">
        <v>254</v>
      </c>
      <c r="H649" s="21" t="s">
        <v>364</v>
      </c>
      <c r="J649" s="21" t="s">
        <v>89</v>
      </c>
      <c r="L649" s="21" t="s">
        <v>737</v>
      </c>
      <c r="N649" s="21" t="s">
        <v>103</v>
      </c>
      <c r="P649" s="21" t="s">
        <v>2056</v>
      </c>
      <c r="R649" s="21" t="s">
        <v>77</v>
      </c>
      <c r="S649" s="20"/>
      <c r="T649" s="58" t="s">
        <v>2052</v>
      </c>
      <c r="V649" s="26" t="s">
        <v>79</v>
      </c>
      <c r="W649" s="60"/>
      <c r="X649" s="26" t="s">
        <v>80</v>
      </c>
      <c r="Y649" s="60"/>
      <c r="Z649" s="26" t="s">
        <v>79</v>
      </c>
      <c r="AA649" s="60"/>
      <c r="AB649" s="26" t="s">
        <v>80</v>
      </c>
      <c r="AC649" s="60"/>
      <c r="AD649" s="23" t="s">
        <v>2057</v>
      </c>
    </row>
    <row r="650" spans="2:30" ht="135.94999999999999">
      <c r="B650" s="21" t="s">
        <v>1145</v>
      </c>
      <c r="C650" s="20"/>
      <c r="D650" s="21" t="s">
        <v>2050</v>
      </c>
      <c r="E650" s="20"/>
      <c r="F650" s="23" t="s">
        <v>254</v>
      </c>
      <c r="H650" s="21" t="s">
        <v>364</v>
      </c>
      <c r="J650" s="21" t="s">
        <v>89</v>
      </c>
      <c r="L650" s="21" t="s">
        <v>737</v>
      </c>
      <c r="N650" s="21" t="s">
        <v>185</v>
      </c>
      <c r="P650" s="21" t="s">
        <v>2058</v>
      </c>
      <c r="R650" s="21" t="s">
        <v>77</v>
      </c>
      <c r="S650" s="20"/>
      <c r="T650" s="58" t="s">
        <v>2052</v>
      </c>
      <c r="V650" s="26" t="s">
        <v>79</v>
      </c>
      <c r="W650" s="60"/>
      <c r="X650" s="26" t="s">
        <v>80</v>
      </c>
      <c r="Y650" s="60"/>
      <c r="Z650" s="26" t="s">
        <v>79</v>
      </c>
      <c r="AA650" s="60"/>
      <c r="AB650" s="26" t="s">
        <v>80</v>
      </c>
      <c r="AC650" s="60"/>
      <c r="AD650" s="23" t="s">
        <v>2059</v>
      </c>
    </row>
    <row r="651" spans="2:30" ht="60.95" customHeight="1">
      <c r="B651" s="21" t="s">
        <v>1148</v>
      </c>
      <c r="C651" s="20"/>
      <c r="D651" s="21" t="s">
        <v>2050</v>
      </c>
      <c r="E651" s="20"/>
      <c r="F651" s="23" t="s">
        <v>254</v>
      </c>
      <c r="H651" s="21" t="s">
        <v>364</v>
      </c>
      <c r="J651" s="21" t="s">
        <v>89</v>
      </c>
      <c r="L651" s="21" t="s">
        <v>737</v>
      </c>
      <c r="N651" s="21" t="s">
        <v>185</v>
      </c>
      <c r="P651" s="21" t="s">
        <v>2060</v>
      </c>
      <c r="R651" s="21" t="s">
        <v>77</v>
      </c>
      <c r="S651" s="20"/>
      <c r="T651" s="58" t="s">
        <v>2052</v>
      </c>
      <c r="V651" s="26" t="s">
        <v>79</v>
      </c>
      <c r="W651" s="60"/>
      <c r="X651" s="26" t="s">
        <v>80</v>
      </c>
      <c r="Y651" s="60"/>
      <c r="Z651" s="26" t="s">
        <v>79</v>
      </c>
      <c r="AA651" s="60"/>
      <c r="AB651" s="26" t="s">
        <v>80</v>
      </c>
      <c r="AC651" s="60"/>
      <c r="AD651" s="23" t="s">
        <v>2061</v>
      </c>
    </row>
    <row r="652" spans="2:30" ht="57.95" customHeight="1">
      <c r="B652" s="21" t="s">
        <v>1130</v>
      </c>
      <c r="C652" s="20"/>
      <c r="D652" s="21" t="s">
        <v>2050</v>
      </c>
      <c r="E652" s="20"/>
      <c r="F652" s="23" t="s">
        <v>254</v>
      </c>
      <c r="H652" s="21" t="s">
        <v>291</v>
      </c>
      <c r="J652" s="21" t="s">
        <v>89</v>
      </c>
      <c r="L652" s="21" t="s">
        <v>737</v>
      </c>
      <c r="N652" s="21" t="s">
        <v>185</v>
      </c>
      <c r="P652" s="21" t="s">
        <v>2062</v>
      </c>
      <c r="R652" s="21" t="s">
        <v>77</v>
      </c>
      <c r="S652" s="20"/>
      <c r="T652" s="58" t="s">
        <v>2052</v>
      </c>
      <c r="V652" s="26" t="s">
        <v>79</v>
      </c>
      <c r="W652" s="60"/>
      <c r="X652" s="26" t="s">
        <v>80</v>
      </c>
      <c r="Y652" s="60"/>
      <c r="Z652" s="26" t="s">
        <v>79</v>
      </c>
      <c r="AA652" s="60"/>
      <c r="AB652" s="26" t="s">
        <v>80</v>
      </c>
      <c r="AC652" s="60"/>
      <c r="AD652" s="23" t="s">
        <v>2063</v>
      </c>
    </row>
    <row r="653" spans="2:30" ht="66" customHeight="1">
      <c r="B653" s="21" t="s">
        <v>1153</v>
      </c>
      <c r="C653" s="20"/>
      <c r="D653" s="21" t="s">
        <v>2050</v>
      </c>
      <c r="E653" s="20"/>
      <c r="F653" s="23" t="s">
        <v>254</v>
      </c>
      <c r="H653" s="21" t="s">
        <v>291</v>
      </c>
      <c r="J653" s="21" t="s">
        <v>89</v>
      </c>
      <c r="L653" s="21" t="s">
        <v>737</v>
      </c>
      <c r="N653" s="21" t="s">
        <v>185</v>
      </c>
      <c r="P653" s="21" t="s">
        <v>2064</v>
      </c>
      <c r="R653" s="21" t="s">
        <v>77</v>
      </c>
      <c r="S653" s="20"/>
      <c r="T653" s="58" t="s">
        <v>2052</v>
      </c>
      <c r="V653" s="26" t="s">
        <v>79</v>
      </c>
      <c r="W653" s="60"/>
      <c r="X653" s="26" t="s">
        <v>80</v>
      </c>
      <c r="Y653" s="60"/>
      <c r="Z653" s="26" t="s">
        <v>79</v>
      </c>
      <c r="AA653" s="60"/>
      <c r="AB653" s="23" t="s">
        <v>753</v>
      </c>
      <c r="AC653" s="60"/>
      <c r="AD653" s="23" t="s">
        <v>2065</v>
      </c>
    </row>
    <row r="654" spans="2:30" ht="84.95">
      <c r="B654" s="21" t="s">
        <v>1156</v>
      </c>
      <c r="C654" s="20"/>
      <c r="D654" s="21" t="s">
        <v>2050</v>
      </c>
      <c r="E654" s="20"/>
      <c r="F654" s="23" t="s">
        <v>254</v>
      </c>
      <c r="H654" s="21" t="s">
        <v>291</v>
      </c>
      <c r="J654" s="21" t="s">
        <v>89</v>
      </c>
      <c r="L654" s="21" t="s">
        <v>737</v>
      </c>
      <c r="N654" s="21" t="s">
        <v>185</v>
      </c>
      <c r="P654" s="21" t="s">
        <v>1531</v>
      </c>
      <c r="R654" s="21" t="s">
        <v>77</v>
      </c>
      <c r="S654" s="20"/>
      <c r="T654" s="58" t="s">
        <v>2052</v>
      </c>
      <c r="V654" s="26" t="s">
        <v>79</v>
      </c>
      <c r="W654" s="60"/>
      <c r="X654" s="26" t="s">
        <v>80</v>
      </c>
      <c r="Y654" s="60"/>
      <c r="Z654" s="26" t="s">
        <v>79</v>
      </c>
      <c r="AA654" s="60"/>
      <c r="AB654" s="26" t="s">
        <v>80</v>
      </c>
      <c r="AC654" s="60"/>
      <c r="AD654" s="23" t="s">
        <v>2066</v>
      </c>
    </row>
    <row r="655" spans="2:30" ht="68.099999999999994">
      <c r="B655" s="21" t="s">
        <v>2067</v>
      </c>
      <c r="C655" s="20"/>
      <c r="D655" s="21" t="s">
        <v>1214</v>
      </c>
      <c r="E655" s="20"/>
      <c r="F655" s="23" t="s">
        <v>254</v>
      </c>
      <c r="H655" s="21" t="s">
        <v>262</v>
      </c>
      <c r="J655" s="21" t="s">
        <v>89</v>
      </c>
      <c r="L655" s="21" t="s">
        <v>737</v>
      </c>
      <c r="N655" s="21" t="s">
        <v>103</v>
      </c>
      <c r="P655" s="21" t="s">
        <v>2068</v>
      </c>
      <c r="R655" s="21" t="s">
        <v>77</v>
      </c>
      <c r="S655" s="20"/>
      <c r="T655" s="58" t="s">
        <v>2069</v>
      </c>
      <c r="V655" s="26" t="s">
        <v>79</v>
      </c>
      <c r="W655" s="60"/>
      <c r="X655" s="26" t="s">
        <v>80</v>
      </c>
      <c r="Y655" s="60"/>
      <c r="Z655" s="26" t="s">
        <v>79</v>
      </c>
      <c r="AA655" s="60"/>
      <c r="AB655" s="26" t="s">
        <v>80</v>
      </c>
      <c r="AD655" s="23" t="s">
        <v>2070</v>
      </c>
    </row>
    <row r="656" spans="2:30" ht="84.95">
      <c r="B656" s="21" t="s">
        <v>1199</v>
      </c>
      <c r="C656" s="20"/>
      <c r="D656" s="21" t="s">
        <v>1214</v>
      </c>
      <c r="E656" s="20"/>
      <c r="F656" s="23" t="s">
        <v>254</v>
      </c>
      <c r="H656" s="21" t="s">
        <v>298</v>
      </c>
      <c r="J656" s="21" t="s">
        <v>89</v>
      </c>
      <c r="L656" s="21" t="s">
        <v>737</v>
      </c>
      <c r="N656" s="21" t="s">
        <v>103</v>
      </c>
      <c r="P656" s="21" t="s">
        <v>2071</v>
      </c>
      <c r="R656" s="21" t="s">
        <v>77</v>
      </c>
      <c r="S656" s="20"/>
      <c r="T656" s="58" t="s">
        <v>2069</v>
      </c>
      <c r="V656" s="26" t="s">
        <v>79</v>
      </c>
      <c r="W656" s="60"/>
      <c r="X656" s="26" t="s">
        <v>80</v>
      </c>
      <c r="Y656" s="60"/>
      <c r="Z656" s="26" t="s">
        <v>79</v>
      </c>
      <c r="AA656" s="60"/>
      <c r="AB656" s="26" t="s">
        <v>80</v>
      </c>
      <c r="AC656" s="60"/>
      <c r="AD656" s="23" t="s">
        <v>2072</v>
      </c>
    </row>
    <row r="657" spans="1:30" ht="57.95" customHeight="1">
      <c r="B657" s="21" t="s">
        <v>1120</v>
      </c>
      <c r="C657" s="20"/>
      <c r="D657" s="21" t="s">
        <v>1214</v>
      </c>
      <c r="E657" s="20"/>
      <c r="F657" s="23" t="s">
        <v>254</v>
      </c>
      <c r="H657" s="21" t="s">
        <v>364</v>
      </c>
      <c r="J657" s="21" t="s">
        <v>89</v>
      </c>
      <c r="L657" s="21" t="s">
        <v>737</v>
      </c>
      <c r="N657" s="21" t="s">
        <v>103</v>
      </c>
      <c r="P657" s="21" t="s">
        <v>2073</v>
      </c>
      <c r="R657" s="21" t="s">
        <v>77</v>
      </c>
      <c r="S657" s="20"/>
      <c r="T657" s="58" t="s">
        <v>2069</v>
      </c>
      <c r="V657" s="26" t="s">
        <v>79</v>
      </c>
      <c r="W657" s="60"/>
      <c r="X657" s="26" t="s">
        <v>80</v>
      </c>
      <c r="Y657" s="60"/>
      <c r="Z657" s="26" t="s">
        <v>79</v>
      </c>
      <c r="AA657" s="60"/>
      <c r="AB657" s="26" t="s">
        <v>80</v>
      </c>
      <c r="AC657" s="60"/>
      <c r="AD657" s="23" t="s">
        <v>2074</v>
      </c>
    </row>
    <row r="658" spans="1:30" ht="60.95" customHeight="1">
      <c r="B658" s="21" t="s">
        <v>1124</v>
      </c>
      <c r="C658" s="20"/>
      <c r="D658" s="21" t="s">
        <v>1214</v>
      </c>
      <c r="E658" s="20"/>
      <c r="F658" s="23" t="s">
        <v>254</v>
      </c>
      <c r="H658" s="21" t="s">
        <v>364</v>
      </c>
      <c r="J658" s="21" t="s">
        <v>89</v>
      </c>
      <c r="L658" s="21" t="s">
        <v>737</v>
      </c>
      <c r="N658" s="21" t="s">
        <v>103</v>
      </c>
      <c r="P658" s="21" t="s">
        <v>1222</v>
      </c>
      <c r="R658" s="21" t="s">
        <v>77</v>
      </c>
      <c r="S658" s="20"/>
      <c r="T658" s="58" t="s">
        <v>2069</v>
      </c>
      <c r="V658" s="26" t="s">
        <v>79</v>
      </c>
      <c r="W658" s="60"/>
      <c r="X658" s="26" t="s">
        <v>80</v>
      </c>
      <c r="Y658" s="60"/>
      <c r="Z658" s="26" t="s">
        <v>79</v>
      </c>
      <c r="AA658" s="60"/>
      <c r="AB658" s="26" t="s">
        <v>80</v>
      </c>
      <c r="AC658" s="60"/>
      <c r="AD658" s="23" t="s">
        <v>2075</v>
      </c>
    </row>
    <row r="659" spans="1:30" ht="119.1">
      <c r="B659" s="21" t="s">
        <v>1145</v>
      </c>
      <c r="C659" s="20"/>
      <c r="D659" s="21" t="s">
        <v>1214</v>
      </c>
      <c r="E659" s="20"/>
      <c r="F659" s="23" t="s">
        <v>254</v>
      </c>
      <c r="H659" s="21" t="s">
        <v>364</v>
      </c>
      <c r="J659" s="21" t="s">
        <v>89</v>
      </c>
      <c r="L659" s="21" t="s">
        <v>737</v>
      </c>
      <c r="N659" s="21" t="s">
        <v>185</v>
      </c>
      <c r="P659" s="21" t="s">
        <v>2076</v>
      </c>
      <c r="R659" s="21" t="s">
        <v>77</v>
      </c>
      <c r="S659" s="20"/>
      <c r="T659" s="58" t="s">
        <v>2069</v>
      </c>
      <c r="V659" s="26" t="s">
        <v>79</v>
      </c>
      <c r="W659" s="60"/>
      <c r="X659" s="26" t="s">
        <v>80</v>
      </c>
      <c r="Y659" s="60"/>
      <c r="Z659" s="26" t="s">
        <v>79</v>
      </c>
      <c r="AA659" s="60"/>
      <c r="AB659" s="26" t="s">
        <v>80</v>
      </c>
      <c r="AC659" s="60"/>
      <c r="AD659" s="23" t="s">
        <v>2077</v>
      </c>
    </row>
    <row r="660" spans="1:30" ht="68.099999999999994">
      <c r="B660" s="21" t="s">
        <v>1148</v>
      </c>
      <c r="C660" s="20"/>
      <c r="D660" s="21" t="s">
        <v>1214</v>
      </c>
      <c r="E660" s="20"/>
      <c r="F660" s="23" t="s">
        <v>254</v>
      </c>
      <c r="H660" s="21" t="s">
        <v>364</v>
      </c>
      <c r="J660" s="21" t="s">
        <v>89</v>
      </c>
      <c r="L660" s="21" t="s">
        <v>737</v>
      </c>
      <c r="N660" s="21" t="s">
        <v>185</v>
      </c>
      <c r="P660" s="21" t="s">
        <v>2078</v>
      </c>
      <c r="R660" s="21" t="s">
        <v>77</v>
      </c>
      <c r="S660" s="20"/>
      <c r="T660" s="58" t="s">
        <v>2069</v>
      </c>
      <c r="V660" s="26" t="s">
        <v>79</v>
      </c>
      <c r="W660" s="60"/>
      <c r="X660" s="26" t="s">
        <v>80</v>
      </c>
      <c r="Y660" s="60"/>
      <c r="Z660" s="26" t="s">
        <v>79</v>
      </c>
      <c r="AA660" s="60"/>
      <c r="AB660" s="26" t="s">
        <v>80</v>
      </c>
      <c r="AC660" s="60"/>
      <c r="AD660" s="23" t="s">
        <v>2079</v>
      </c>
    </row>
    <row r="661" spans="1:30" ht="68.099999999999994">
      <c r="B661" s="21" t="s">
        <v>1130</v>
      </c>
      <c r="C661" s="20"/>
      <c r="D661" s="21" t="s">
        <v>1214</v>
      </c>
      <c r="E661" s="20"/>
      <c r="F661" s="23" t="s">
        <v>254</v>
      </c>
      <c r="H661" s="21" t="s">
        <v>291</v>
      </c>
      <c r="J661" s="21" t="s">
        <v>89</v>
      </c>
      <c r="L661" s="21" t="s">
        <v>737</v>
      </c>
      <c r="N661" s="21" t="s">
        <v>185</v>
      </c>
      <c r="P661" s="21" t="s">
        <v>1228</v>
      </c>
      <c r="R661" s="21" t="s">
        <v>77</v>
      </c>
      <c r="S661" s="20"/>
      <c r="T661" s="58" t="s">
        <v>2069</v>
      </c>
      <c r="V661" s="26" t="s">
        <v>79</v>
      </c>
      <c r="W661" s="60"/>
      <c r="X661" s="26" t="s">
        <v>80</v>
      </c>
      <c r="Y661" s="60"/>
      <c r="Z661" s="26" t="s">
        <v>79</v>
      </c>
      <c r="AA661" s="60"/>
      <c r="AB661" s="26" t="s">
        <v>80</v>
      </c>
      <c r="AC661" s="60"/>
      <c r="AD661" s="23" t="s">
        <v>2080</v>
      </c>
    </row>
    <row r="662" spans="1:30" ht="60.95" customHeight="1">
      <c r="B662" s="21" t="s">
        <v>1153</v>
      </c>
      <c r="C662" s="20"/>
      <c r="D662" s="21" t="s">
        <v>1214</v>
      </c>
      <c r="E662" s="20"/>
      <c r="F662" s="23" t="s">
        <v>254</v>
      </c>
      <c r="H662" s="21" t="s">
        <v>291</v>
      </c>
      <c r="J662" s="21" t="s">
        <v>89</v>
      </c>
      <c r="L662" s="21" t="s">
        <v>737</v>
      </c>
      <c r="N662" s="21" t="s">
        <v>185</v>
      </c>
      <c r="P662" s="21" t="s">
        <v>2081</v>
      </c>
      <c r="R662" s="21" t="s">
        <v>77</v>
      </c>
      <c r="S662" s="20"/>
      <c r="T662" s="58" t="s">
        <v>2069</v>
      </c>
      <c r="V662" s="26" t="s">
        <v>79</v>
      </c>
      <c r="W662" s="60"/>
      <c r="X662" s="26" t="s">
        <v>80</v>
      </c>
      <c r="Y662" s="60"/>
      <c r="Z662" s="26" t="s">
        <v>79</v>
      </c>
      <c r="AA662" s="60"/>
      <c r="AB662" s="23" t="s">
        <v>753</v>
      </c>
      <c r="AC662" s="60"/>
      <c r="AD662" s="23" t="s">
        <v>2082</v>
      </c>
    </row>
    <row r="663" spans="1:30" ht="84.95">
      <c r="B663" s="21" t="s">
        <v>1156</v>
      </c>
      <c r="C663" s="20"/>
      <c r="D663" s="21" t="s">
        <v>1214</v>
      </c>
      <c r="E663" s="20"/>
      <c r="F663" s="23" t="s">
        <v>254</v>
      </c>
      <c r="H663" s="21" t="s">
        <v>291</v>
      </c>
      <c r="J663" s="21" t="s">
        <v>89</v>
      </c>
      <c r="L663" s="21" t="s">
        <v>737</v>
      </c>
      <c r="N663" s="21" t="s">
        <v>185</v>
      </c>
      <c r="P663" s="21" t="s">
        <v>1135</v>
      </c>
      <c r="R663" s="21" t="s">
        <v>77</v>
      </c>
      <c r="S663" s="20"/>
      <c r="T663" s="58" t="s">
        <v>2069</v>
      </c>
      <c r="V663" s="26" t="s">
        <v>79</v>
      </c>
      <c r="W663" s="60"/>
      <c r="X663" s="26" t="s">
        <v>80</v>
      </c>
      <c r="Y663" s="60"/>
      <c r="Z663" s="26" t="s">
        <v>79</v>
      </c>
      <c r="AA663" s="60"/>
      <c r="AB663" s="26" t="s">
        <v>80</v>
      </c>
      <c r="AC663" s="60"/>
      <c r="AD663" s="23" t="s">
        <v>2083</v>
      </c>
    </row>
    <row r="664" spans="1:30" ht="84.95">
      <c r="B664" s="21" t="s">
        <v>2084</v>
      </c>
      <c r="C664" s="20"/>
      <c r="D664" s="21" t="s">
        <v>2085</v>
      </c>
      <c r="E664" s="20"/>
      <c r="F664" s="23" t="s">
        <v>254</v>
      </c>
      <c r="H664" s="21" t="s">
        <v>262</v>
      </c>
      <c r="J664" s="21" t="s">
        <v>89</v>
      </c>
      <c r="L664" s="21" t="s">
        <v>737</v>
      </c>
      <c r="N664" s="21" t="s">
        <v>103</v>
      </c>
      <c r="P664" s="21" t="s">
        <v>2086</v>
      </c>
      <c r="R664" s="21" t="s">
        <v>77</v>
      </c>
      <c r="S664" s="20"/>
      <c r="T664" s="58" t="s">
        <v>2087</v>
      </c>
      <c r="V664" s="26" t="s">
        <v>79</v>
      </c>
      <c r="W664" s="60"/>
      <c r="X664" s="26" t="s">
        <v>80</v>
      </c>
      <c r="Y664" s="60"/>
      <c r="Z664" s="26" t="s">
        <v>79</v>
      </c>
      <c r="AA664" s="60"/>
      <c r="AB664" s="26" t="s">
        <v>80</v>
      </c>
      <c r="AD664" s="23" t="s">
        <v>2088</v>
      </c>
    </row>
    <row r="665" spans="1:30" ht="51">
      <c r="B665" s="21" t="s">
        <v>1120</v>
      </c>
      <c r="C665" s="20"/>
      <c r="D665" s="21" t="s">
        <v>2085</v>
      </c>
      <c r="E665" s="20"/>
      <c r="F665" s="23" t="s">
        <v>254</v>
      </c>
      <c r="H665" s="21" t="s">
        <v>364</v>
      </c>
      <c r="J665" s="21" t="s">
        <v>89</v>
      </c>
      <c r="L665" s="21" t="s">
        <v>737</v>
      </c>
      <c r="N665" s="21" t="s">
        <v>103</v>
      </c>
      <c r="P665" s="21" t="s">
        <v>2089</v>
      </c>
      <c r="R665" s="21" t="s">
        <v>77</v>
      </c>
      <c r="S665" s="20"/>
      <c r="T665" s="58" t="s">
        <v>2087</v>
      </c>
      <c r="V665" s="26" t="s">
        <v>79</v>
      </c>
      <c r="W665" s="60"/>
      <c r="X665" s="26" t="s">
        <v>80</v>
      </c>
      <c r="Y665" s="60"/>
      <c r="Z665" s="26" t="s">
        <v>79</v>
      </c>
      <c r="AA665" s="60"/>
      <c r="AB665" s="26" t="s">
        <v>80</v>
      </c>
      <c r="AC665" s="60"/>
      <c r="AD665" s="23" t="s">
        <v>2090</v>
      </c>
    </row>
    <row r="666" spans="1:30" ht="153">
      <c r="B666" s="21" t="s">
        <v>1145</v>
      </c>
      <c r="C666" s="20"/>
      <c r="D666" s="21" t="s">
        <v>2085</v>
      </c>
      <c r="E666" s="20"/>
      <c r="F666" s="23" t="s">
        <v>254</v>
      </c>
      <c r="H666" s="21" t="s">
        <v>364</v>
      </c>
      <c r="J666" s="21" t="s">
        <v>89</v>
      </c>
      <c r="L666" s="21" t="s">
        <v>737</v>
      </c>
      <c r="N666" s="21" t="s">
        <v>185</v>
      </c>
      <c r="P666" s="21" t="s">
        <v>2091</v>
      </c>
      <c r="R666" s="21" t="s">
        <v>77</v>
      </c>
      <c r="S666" s="20"/>
      <c r="T666" s="58" t="s">
        <v>2087</v>
      </c>
      <c r="V666" s="26" t="s">
        <v>79</v>
      </c>
      <c r="W666" s="60"/>
      <c r="X666" s="26" t="s">
        <v>80</v>
      </c>
      <c r="Y666" s="60"/>
      <c r="Z666" s="26" t="s">
        <v>79</v>
      </c>
      <c r="AA666" s="60"/>
      <c r="AB666" s="26" t="s">
        <v>80</v>
      </c>
      <c r="AC666" s="60"/>
      <c r="AD666" s="23" t="s">
        <v>2092</v>
      </c>
    </row>
    <row r="667" spans="1:30" ht="51">
      <c r="B667" s="21" t="s">
        <v>1130</v>
      </c>
      <c r="C667" s="20"/>
      <c r="D667" s="21" t="s">
        <v>2085</v>
      </c>
      <c r="E667" s="20"/>
      <c r="F667" s="23" t="s">
        <v>254</v>
      </c>
      <c r="H667" s="21" t="s">
        <v>291</v>
      </c>
      <c r="J667" s="21" t="s">
        <v>89</v>
      </c>
      <c r="L667" s="21" t="s">
        <v>737</v>
      </c>
      <c r="N667" s="21" t="s">
        <v>185</v>
      </c>
      <c r="P667" s="21" t="s">
        <v>2093</v>
      </c>
      <c r="R667" s="21" t="s">
        <v>77</v>
      </c>
      <c r="S667" s="20"/>
      <c r="T667" s="58" t="s">
        <v>2087</v>
      </c>
      <c r="V667" s="26" t="s">
        <v>79</v>
      </c>
      <c r="W667" s="60"/>
      <c r="X667" s="26" t="s">
        <v>80</v>
      </c>
      <c r="Y667" s="60"/>
      <c r="Z667" s="26" t="s">
        <v>79</v>
      </c>
      <c r="AA667" s="60"/>
      <c r="AB667" s="26" t="s">
        <v>80</v>
      </c>
      <c r="AC667" s="60"/>
      <c r="AD667" s="23" t="s">
        <v>2094</v>
      </c>
    </row>
    <row r="668" spans="1:30" ht="51">
      <c r="B668" s="21" t="s">
        <v>1153</v>
      </c>
      <c r="C668" s="20"/>
      <c r="D668" s="21" t="s">
        <v>2085</v>
      </c>
      <c r="E668" s="20"/>
      <c r="F668" s="23" t="s">
        <v>254</v>
      </c>
      <c r="H668" s="21" t="s">
        <v>291</v>
      </c>
      <c r="J668" s="21" t="s">
        <v>89</v>
      </c>
      <c r="L668" s="21" t="s">
        <v>737</v>
      </c>
      <c r="N668" s="21" t="s">
        <v>185</v>
      </c>
      <c r="P668" s="21" t="s">
        <v>2095</v>
      </c>
      <c r="R668" s="21" t="s">
        <v>77</v>
      </c>
      <c r="S668" s="20"/>
      <c r="T668" s="58" t="s">
        <v>2087</v>
      </c>
      <c r="V668" s="26" t="s">
        <v>79</v>
      </c>
      <c r="W668" s="60"/>
      <c r="X668" s="26" t="s">
        <v>80</v>
      </c>
      <c r="Y668" s="60"/>
      <c r="Z668" s="26" t="s">
        <v>79</v>
      </c>
      <c r="AA668" s="60"/>
      <c r="AB668" s="23" t="s">
        <v>753</v>
      </c>
      <c r="AC668" s="60"/>
      <c r="AD668" s="23" t="s">
        <v>2096</v>
      </c>
    </row>
    <row r="669" spans="1:30" ht="84.95">
      <c r="B669" s="21" t="s">
        <v>1156</v>
      </c>
      <c r="C669" s="20"/>
      <c r="D669" s="21" t="s">
        <v>2085</v>
      </c>
      <c r="E669" s="20"/>
      <c r="F669" s="23" t="s">
        <v>254</v>
      </c>
      <c r="H669" s="21" t="s">
        <v>291</v>
      </c>
      <c r="J669" s="21" t="s">
        <v>89</v>
      </c>
      <c r="L669" s="21" t="s">
        <v>737</v>
      </c>
      <c r="N669" s="21" t="s">
        <v>185</v>
      </c>
      <c r="P669" s="21" t="s">
        <v>2097</v>
      </c>
      <c r="R669" s="21" t="s">
        <v>77</v>
      </c>
      <c r="S669" s="20"/>
      <c r="T669" s="58" t="s">
        <v>2087</v>
      </c>
      <c r="V669" s="26" t="s">
        <v>79</v>
      </c>
      <c r="W669" s="60"/>
      <c r="X669" s="26" t="s">
        <v>80</v>
      </c>
      <c r="Y669" s="60"/>
      <c r="Z669" s="26" t="s">
        <v>79</v>
      </c>
      <c r="AA669" s="60"/>
      <c r="AB669" s="26" t="s">
        <v>80</v>
      </c>
      <c r="AC669" s="60"/>
      <c r="AD669" s="23" t="s">
        <v>2098</v>
      </c>
    </row>
    <row r="670" spans="1:30" ht="288.95">
      <c r="A670" s="57"/>
      <c r="B670" s="21" t="s">
        <v>736</v>
      </c>
      <c r="C670" s="20"/>
      <c r="D670" s="21" t="s">
        <v>305</v>
      </c>
      <c r="E670" s="20"/>
      <c r="F670" s="23" t="s">
        <v>254</v>
      </c>
      <c r="H670" s="21" t="s">
        <v>298</v>
      </c>
      <c r="J670" s="21" t="s">
        <v>89</v>
      </c>
      <c r="L670" s="21" t="s">
        <v>737</v>
      </c>
      <c r="N670" s="21" t="s">
        <v>178</v>
      </c>
      <c r="P670" s="21" t="s">
        <v>2099</v>
      </c>
      <c r="R670" s="64" t="s">
        <v>739</v>
      </c>
      <c r="S670" s="20"/>
      <c r="T670" s="58" t="s">
        <v>2100</v>
      </c>
      <c r="V670" s="26" t="s">
        <v>79</v>
      </c>
      <c r="W670" s="60"/>
      <c r="X670" s="26" t="s">
        <v>80</v>
      </c>
      <c r="Y670" s="60"/>
      <c r="Z670" s="26" t="s">
        <v>79</v>
      </c>
      <c r="AA670" s="60"/>
      <c r="AB670" s="26" t="s">
        <v>80</v>
      </c>
      <c r="AD670" s="23" t="s">
        <v>741</v>
      </c>
    </row>
    <row r="671" spans="1:30" ht="84.95">
      <c r="A671" s="57"/>
      <c r="B671" s="21" t="s">
        <v>742</v>
      </c>
      <c r="C671" s="20"/>
      <c r="D671" s="21" t="s">
        <v>305</v>
      </c>
      <c r="E671" s="20"/>
      <c r="F671" s="23" t="s">
        <v>254</v>
      </c>
      <c r="H671" s="21" t="s">
        <v>298</v>
      </c>
      <c r="J671" s="21" t="s">
        <v>89</v>
      </c>
      <c r="L671" s="21" t="s">
        <v>737</v>
      </c>
      <c r="N671" s="21" t="s">
        <v>178</v>
      </c>
      <c r="P671" s="21" t="s">
        <v>743</v>
      </c>
      <c r="R671" s="64" t="s">
        <v>744</v>
      </c>
      <c r="S671" s="20"/>
      <c r="T671" s="58" t="s">
        <v>2101</v>
      </c>
      <c r="V671" s="26" t="s">
        <v>79</v>
      </c>
      <c r="W671" s="60"/>
      <c r="X671" s="26" t="s">
        <v>80</v>
      </c>
      <c r="Y671" s="60"/>
      <c r="Z671" s="26" t="s">
        <v>79</v>
      </c>
      <c r="AA671" s="60"/>
      <c r="AB671" s="26" t="s">
        <v>80</v>
      </c>
      <c r="AD671" s="23" t="s">
        <v>746</v>
      </c>
    </row>
    <row r="672" spans="1:30" ht="200.1" customHeight="1">
      <c r="B672" s="21" t="s">
        <v>1110</v>
      </c>
      <c r="C672" s="20"/>
      <c r="D672" s="21" t="s">
        <v>749</v>
      </c>
      <c r="E672" s="20"/>
      <c r="F672" s="23" t="s">
        <v>254</v>
      </c>
      <c r="H672" s="21" t="s">
        <v>262</v>
      </c>
      <c r="J672" s="21" t="s">
        <v>73</v>
      </c>
      <c r="L672" s="21" t="s">
        <v>737</v>
      </c>
      <c r="N672" s="21" t="s">
        <v>103</v>
      </c>
      <c r="P672" s="21" t="s">
        <v>1112</v>
      </c>
      <c r="R672" s="21" t="s">
        <v>77</v>
      </c>
      <c r="S672" s="20"/>
      <c r="T672" s="58" t="s">
        <v>1113</v>
      </c>
      <c r="V672" s="26" t="s">
        <v>79</v>
      </c>
      <c r="W672" s="60"/>
      <c r="X672" s="26" t="s">
        <v>80</v>
      </c>
      <c r="Y672" s="60"/>
      <c r="Z672" s="26" t="s">
        <v>79</v>
      </c>
      <c r="AA672" s="60"/>
      <c r="AB672" s="26" t="s">
        <v>80</v>
      </c>
      <c r="AC672" s="60"/>
      <c r="AD672" s="134" t="s">
        <v>1114</v>
      </c>
    </row>
    <row r="673" spans="1:31" ht="117" customHeight="1">
      <c r="A673" s="57"/>
      <c r="B673" s="21" t="s">
        <v>2102</v>
      </c>
      <c r="D673" s="21" t="s">
        <v>2103</v>
      </c>
      <c r="F673" s="23" t="s">
        <v>2104</v>
      </c>
      <c r="H673" s="21" t="s">
        <v>2105</v>
      </c>
      <c r="J673" s="21" t="s">
        <v>263</v>
      </c>
      <c r="L673" s="21" t="s">
        <v>737</v>
      </c>
      <c r="N673" s="21" t="s">
        <v>202</v>
      </c>
      <c r="P673" s="23" t="s">
        <v>2106</v>
      </c>
      <c r="R673" s="23" t="s">
        <v>77</v>
      </c>
      <c r="T673" s="58" t="s">
        <v>2107</v>
      </c>
      <c r="V673" s="26" t="s">
        <v>79</v>
      </c>
      <c r="X673" s="26" t="s">
        <v>79</v>
      </c>
      <c r="Z673" s="26" t="s">
        <v>79</v>
      </c>
      <c r="AB673" s="26" t="s">
        <v>92</v>
      </c>
      <c r="AD673" s="23" t="s">
        <v>2108</v>
      </c>
    </row>
    <row r="674" spans="1:31" ht="409.5" customHeight="1">
      <c r="B674" s="21" t="s">
        <v>2109</v>
      </c>
      <c r="C674" s="20"/>
      <c r="D674" s="21" t="s">
        <v>486</v>
      </c>
      <c r="E674" s="20"/>
      <c r="F674" s="23" t="s">
        <v>254</v>
      </c>
      <c r="H674" s="21" t="s">
        <v>2110</v>
      </c>
      <c r="J674" s="21" t="s">
        <v>263</v>
      </c>
      <c r="L674" s="21" t="s">
        <v>737</v>
      </c>
      <c r="N674" s="21" t="s">
        <v>2111</v>
      </c>
      <c r="P674" s="21" t="s">
        <v>2112</v>
      </c>
      <c r="R674" s="21" t="s">
        <v>77</v>
      </c>
      <c r="S674" s="20"/>
      <c r="T674" s="58" t="s">
        <v>2113</v>
      </c>
      <c r="V674" s="26" t="s">
        <v>79</v>
      </c>
      <c r="W674" s="60"/>
      <c r="X674" s="26" t="s">
        <v>79</v>
      </c>
      <c r="Y674" s="60"/>
      <c r="Z674" s="26" t="s">
        <v>79</v>
      </c>
      <c r="AA674" s="60"/>
      <c r="AB674" s="26" t="s">
        <v>80</v>
      </c>
      <c r="AD674" s="23" t="s">
        <v>2114</v>
      </c>
    </row>
    <row r="675" spans="1:31" ht="84.95">
      <c r="A675" s="57"/>
      <c r="B675" s="21" t="s">
        <v>2115</v>
      </c>
      <c r="C675" s="20"/>
      <c r="D675" s="21" t="s">
        <v>71</v>
      </c>
      <c r="E675" s="20"/>
      <c r="F675" s="23" t="s">
        <v>2116</v>
      </c>
      <c r="H675" s="21" t="s">
        <v>291</v>
      </c>
      <c r="J675" s="21" t="s">
        <v>263</v>
      </c>
      <c r="L675" s="21" t="s">
        <v>737</v>
      </c>
      <c r="N675" s="21" t="s">
        <v>178</v>
      </c>
      <c r="P675" s="21" t="s">
        <v>2117</v>
      </c>
      <c r="R675" s="23" t="s">
        <v>77</v>
      </c>
      <c r="S675" s="20"/>
      <c r="T675" s="89" t="s">
        <v>2118</v>
      </c>
      <c r="V675" s="26" t="s">
        <v>79</v>
      </c>
      <c r="W675" s="60"/>
      <c r="X675" s="26" t="s">
        <v>79</v>
      </c>
      <c r="Y675" s="60"/>
      <c r="Z675" s="26" t="s">
        <v>79</v>
      </c>
      <c r="AA675" s="60"/>
      <c r="AB675" s="23" t="s">
        <v>92</v>
      </c>
      <c r="AD675" s="23" t="s">
        <v>2119</v>
      </c>
    </row>
    <row r="676" spans="1:31" ht="66.95" customHeight="1">
      <c r="A676" s="57"/>
      <c r="B676" s="21" t="s">
        <v>2120</v>
      </c>
      <c r="C676" s="20"/>
      <c r="D676" s="21" t="s">
        <v>71</v>
      </c>
      <c r="E676" s="20"/>
      <c r="F676" s="23" t="s">
        <v>2116</v>
      </c>
      <c r="H676" s="21" t="s">
        <v>298</v>
      </c>
      <c r="J676" s="21" t="s">
        <v>263</v>
      </c>
      <c r="L676" s="21" t="s">
        <v>737</v>
      </c>
      <c r="N676" s="21" t="s">
        <v>103</v>
      </c>
      <c r="P676" s="21" t="s">
        <v>2121</v>
      </c>
      <c r="R676" s="23" t="s">
        <v>77</v>
      </c>
      <c r="S676" s="20"/>
      <c r="T676" s="89" t="s">
        <v>2122</v>
      </c>
      <c r="V676" s="26" t="s">
        <v>79</v>
      </c>
      <c r="W676" s="60"/>
      <c r="X676" s="26" t="s">
        <v>79</v>
      </c>
      <c r="Y676" s="60"/>
      <c r="Z676" s="26" t="s">
        <v>79</v>
      </c>
      <c r="AA676" s="60"/>
      <c r="AB676" s="26" t="s">
        <v>80</v>
      </c>
      <c r="AD676" s="23" t="s">
        <v>2123</v>
      </c>
    </row>
    <row r="677" spans="1:31" ht="105" customHeight="1">
      <c r="B677" s="21" t="s">
        <v>2124</v>
      </c>
      <c r="C677" s="20"/>
      <c r="D677" s="21" t="s">
        <v>115</v>
      </c>
      <c r="E677" s="20"/>
      <c r="F677" s="23" t="s">
        <v>115</v>
      </c>
      <c r="H677" s="21" t="s">
        <v>2125</v>
      </c>
      <c r="J677" s="21" t="s">
        <v>263</v>
      </c>
      <c r="L677" s="21" t="s">
        <v>737</v>
      </c>
      <c r="N677" s="21" t="s">
        <v>231</v>
      </c>
      <c r="P677" s="21" t="s">
        <v>2126</v>
      </c>
      <c r="R677" s="21" t="s">
        <v>77</v>
      </c>
      <c r="S677" s="20"/>
      <c r="T677" s="58" t="s">
        <v>2127</v>
      </c>
      <c r="V677" s="26" t="s">
        <v>79</v>
      </c>
      <c r="W677" s="60"/>
      <c r="X677" s="26" t="s">
        <v>79</v>
      </c>
      <c r="Y677" s="60"/>
      <c r="Z677" s="26" t="s">
        <v>79</v>
      </c>
      <c r="AA677" s="60"/>
      <c r="AB677" s="23" t="s">
        <v>2128</v>
      </c>
      <c r="AD677" s="23" t="s">
        <v>2129</v>
      </c>
    </row>
    <row r="678" spans="1:31" ht="84.95">
      <c r="B678" s="21" t="s">
        <v>2130</v>
      </c>
      <c r="C678" s="22" t="s">
        <v>998</v>
      </c>
      <c r="D678" s="21" t="s">
        <v>394</v>
      </c>
      <c r="E678" s="22" t="s">
        <v>998</v>
      </c>
      <c r="F678" s="23" t="s">
        <v>394</v>
      </c>
      <c r="G678" s="20" t="s">
        <v>998</v>
      </c>
      <c r="H678" s="21" t="s">
        <v>364</v>
      </c>
      <c r="I678" s="20" t="s">
        <v>998</v>
      </c>
      <c r="J678" s="21" t="s">
        <v>263</v>
      </c>
      <c r="K678" s="20" t="s">
        <v>998</v>
      </c>
      <c r="L678" s="21" t="s">
        <v>737</v>
      </c>
      <c r="M678" s="20" t="s">
        <v>998</v>
      </c>
      <c r="N678" s="21" t="s">
        <v>202</v>
      </c>
      <c r="O678" s="20" t="s">
        <v>998</v>
      </c>
      <c r="P678" s="21" t="s">
        <v>2131</v>
      </c>
      <c r="R678" s="21" t="s">
        <v>77</v>
      </c>
      <c r="S678" s="22" t="s">
        <v>998</v>
      </c>
      <c r="T678" s="89" t="s">
        <v>2132</v>
      </c>
      <c r="V678" s="26" t="s">
        <v>79</v>
      </c>
      <c r="W678" s="60"/>
      <c r="X678" s="26" t="s">
        <v>79</v>
      </c>
      <c r="Y678" s="60"/>
      <c r="Z678" s="26" t="s">
        <v>79</v>
      </c>
      <c r="AA678" s="60"/>
      <c r="AB678" s="26" t="s">
        <v>80</v>
      </c>
      <c r="AD678" s="23" t="s">
        <v>2133</v>
      </c>
    </row>
    <row r="679" spans="1:31" s="83" customFormat="1" ht="186.95">
      <c r="B679" s="106" t="s">
        <v>2134</v>
      </c>
      <c r="D679" s="106" t="s">
        <v>71</v>
      </c>
      <c r="F679" s="106" t="s">
        <v>71</v>
      </c>
      <c r="H679" s="106" t="s">
        <v>364</v>
      </c>
      <c r="J679" s="106" t="s">
        <v>263</v>
      </c>
      <c r="L679" s="106" t="s">
        <v>737</v>
      </c>
      <c r="N679" s="106" t="s">
        <v>103</v>
      </c>
      <c r="P679" s="106" t="s">
        <v>2135</v>
      </c>
      <c r="R679" s="111" t="s">
        <v>2136</v>
      </c>
      <c r="T679" s="124" t="s">
        <v>2137</v>
      </c>
      <c r="U679" s="120"/>
      <c r="V679" s="26" t="s">
        <v>79</v>
      </c>
      <c r="W679" s="60"/>
      <c r="X679" s="26" t="s">
        <v>79</v>
      </c>
      <c r="Y679" s="60"/>
      <c r="Z679" s="26" t="s">
        <v>79</v>
      </c>
      <c r="AA679" s="60"/>
      <c r="AB679" s="26" t="s">
        <v>80</v>
      </c>
      <c r="AD679" s="106" t="s">
        <v>2138</v>
      </c>
    </row>
    <row r="680" spans="1:31" s="83" customFormat="1" ht="186.95">
      <c r="B680" s="106" t="s">
        <v>2139</v>
      </c>
      <c r="C680" s="118"/>
      <c r="D680" s="106" t="s">
        <v>71</v>
      </c>
      <c r="E680" s="118"/>
      <c r="F680" s="106" t="s">
        <v>71</v>
      </c>
      <c r="H680" s="106" t="s">
        <v>364</v>
      </c>
      <c r="J680" s="106" t="s">
        <v>263</v>
      </c>
      <c r="L680" s="106" t="s">
        <v>737</v>
      </c>
      <c r="N680" s="106" t="s">
        <v>103</v>
      </c>
      <c r="P680" s="106" t="s">
        <v>2135</v>
      </c>
      <c r="R680" s="111" t="s">
        <v>2136</v>
      </c>
      <c r="S680" s="118"/>
      <c r="T680" s="210" t="s">
        <v>2140</v>
      </c>
      <c r="U680" s="120"/>
      <c r="V680" s="26" t="s">
        <v>79</v>
      </c>
      <c r="W680" s="60"/>
      <c r="X680" s="26" t="s">
        <v>79</v>
      </c>
      <c r="Y680" s="60"/>
      <c r="Z680" s="26" t="s">
        <v>79</v>
      </c>
      <c r="AA680" s="60"/>
      <c r="AB680" s="26" t="s">
        <v>80</v>
      </c>
      <c r="AD680" s="106" t="s">
        <v>2141</v>
      </c>
      <c r="AE680" s="119"/>
    </row>
    <row r="681" spans="1:31" s="83" customFormat="1" ht="306" customHeight="1">
      <c r="B681" s="106" t="s">
        <v>2142</v>
      </c>
      <c r="C681" s="118"/>
      <c r="D681" s="106" t="s">
        <v>71</v>
      </c>
      <c r="E681" s="118"/>
      <c r="F681" s="106" t="s">
        <v>71</v>
      </c>
      <c r="H681" s="106" t="s">
        <v>364</v>
      </c>
      <c r="J681" s="106" t="s">
        <v>263</v>
      </c>
      <c r="L681" s="106" t="s">
        <v>737</v>
      </c>
      <c r="N681" s="106" t="s">
        <v>103</v>
      </c>
      <c r="P681" s="106" t="s">
        <v>2143</v>
      </c>
      <c r="R681" s="111" t="s">
        <v>2144</v>
      </c>
      <c r="S681" s="118"/>
      <c r="T681" s="210" t="s">
        <v>2145</v>
      </c>
      <c r="U681" s="120"/>
      <c r="V681" s="26" t="s">
        <v>79</v>
      </c>
      <c r="W681" s="60"/>
      <c r="X681" s="26" t="s">
        <v>80</v>
      </c>
      <c r="Y681" s="60"/>
      <c r="Z681" s="26" t="s">
        <v>79</v>
      </c>
      <c r="AA681" s="60"/>
      <c r="AB681" s="26" t="s">
        <v>80</v>
      </c>
      <c r="AD681" s="106" t="s">
        <v>2146</v>
      </c>
    </row>
    <row r="682" spans="1:31" ht="119.1">
      <c r="A682" s="25"/>
      <c r="B682" s="21" t="s">
        <v>2147</v>
      </c>
      <c r="C682" s="20"/>
      <c r="D682" s="21" t="s">
        <v>2148</v>
      </c>
      <c r="E682" s="20"/>
      <c r="F682" s="23" t="s">
        <v>184</v>
      </c>
      <c r="H682" s="21" t="s">
        <v>124</v>
      </c>
      <c r="J682" s="21" t="s">
        <v>2149</v>
      </c>
      <c r="L682" s="21" t="s">
        <v>737</v>
      </c>
      <c r="N682" s="21" t="s">
        <v>103</v>
      </c>
      <c r="P682" s="21" t="s">
        <v>2150</v>
      </c>
      <c r="R682" s="21" t="s">
        <v>77</v>
      </c>
      <c r="S682" s="20"/>
      <c r="T682" s="93" t="s">
        <v>2151</v>
      </c>
      <c r="V682" s="26" t="s">
        <v>79</v>
      </c>
      <c r="W682" s="25"/>
      <c r="X682" s="26" t="s">
        <v>80</v>
      </c>
      <c r="Y682" s="85"/>
      <c r="Z682" s="26" t="s">
        <v>79</v>
      </c>
      <c r="AA682" s="25"/>
      <c r="AB682" s="23" t="s">
        <v>2152</v>
      </c>
      <c r="AD682" s="23" t="s">
        <v>2153</v>
      </c>
      <c r="AE682" s="83"/>
    </row>
    <row r="683" spans="1:31" ht="119.1">
      <c r="B683" s="21" t="s">
        <v>2154</v>
      </c>
      <c r="D683" s="21" t="s">
        <v>2155</v>
      </c>
      <c r="F683" s="23" t="s">
        <v>254</v>
      </c>
      <c r="H683" s="21" t="s">
        <v>262</v>
      </c>
      <c r="J683" s="21" t="s">
        <v>263</v>
      </c>
      <c r="L683" s="21" t="s">
        <v>737</v>
      </c>
      <c r="N683" s="21" t="s">
        <v>103</v>
      </c>
      <c r="P683" s="21" t="s">
        <v>2156</v>
      </c>
      <c r="R683" s="21" t="s">
        <v>77</v>
      </c>
      <c r="T683" s="58" t="s">
        <v>2157</v>
      </c>
      <c r="V683" s="26" t="s">
        <v>79</v>
      </c>
      <c r="W683" s="60"/>
      <c r="X683" s="26" t="s">
        <v>79</v>
      </c>
      <c r="Y683" s="60"/>
      <c r="Z683" s="26" t="s">
        <v>79</v>
      </c>
      <c r="AA683" s="60"/>
      <c r="AB683" s="26" t="s">
        <v>80</v>
      </c>
      <c r="AD683" s="23" t="s">
        <v>2158</v>
      </c>
    </row>
    <row r="684" spans="1:31" ht="68.099999999999994" customHeight="1">
      <c r="B684" s="21" t="s">
        <v>1120</v>
      </c>
      <c r="D684" s="21" t="s">
        <v>2155</v>
      </c>
      <c r="F684" s="23" t="s">
        <v>254</v>
      </c>
      <c r="H684" s="21" t="s">
        <v>364</v>
      </c>
      <c r="J684" s="21" t="s">
        <v>263</v>
      </c>
      <c r="L684" s="21" t="s">
        <v>737</v>
      </c>
      <c r="N684" s="21" t="s">
        <v>103</v>
      </c>
      <c r="P684" s="21" t="s">
        <v>2159</v>
      </c>
      <c r="R684" s="21" t="s">
        <v>77</v>
      </c>
      <c r="T684" s="58" t="s">
        <v>2157</v>
      </c>
      <c r="V684" s="26" t="s">
        <v>79</v>
      </c>
      <c r="W684" s="60"/>
      <c r="X684" s="26" t="s">
        <v>79</v>
      </c>
      <c r="Y684" s="60"/>
      <c r="Z684" s="26" t="s">
        <v>79</v>
      </c>
      <c r="AA684" s="60"/>
      <c r="AB684" s="26" t="s">
        <v>80</v>
      </c>
      <c r="AC684" s="60"/>
      <c r="AD684" s="23" t="s">
        <v>2160</v>
      </c>
    </row>
    <row r="685" spans="1:31" ht="204">
      <c r="B685" s="21" t="s">
        <v>1124</v>
      </c>
      <c r="D685" s="21" t="s">
        <v>2155</v>
      </c>
      <c r="F685" s="23" t="s">
        <v>254</v>
      </c>
      <c r="H685" s="21" t="s">
        <v>364</v>
      </c>
      <c r="J685" s="21" t="s">
        <v>263</v>
      </c>
      <c r="L685" s="21" t="s">
        <v>737</v>
      </c>
      <c r="N685" s="21" t="s">
        <v>103</v>
      </c>
      <c r="P685" s="21" t="s">
        <v>2161</v>
      </c>
      <c r="R685" s="21" t="s">
        <v>77</v>
      </c>
      <c r="T685" s="58" t="s">
        <v>2157</v>
      </c>
      <c r="V685" s="26" t="s">
        <v>79</v>
      </c>
      <c r="W685" s="60"/>
      <c r="X685" s="26" t="s">
        <v>79</v>
      </c>
      <c r="Y685" s="60"/>
      <c r="Z685" s="26" t="s">
        <v>79</v>
      </c>
      <c r="AA685" s="60"/>
      <c r="AB685" s="26" t="s">
        <v>80</v>
      </c>
      <c r="AC685" s="60"/>
      <c r="AD685" s="23" t="s">
        <v>2162</v>
      </c>
    </row>
    <row r="686" spans="1:31" ht="135.94999999999999">
      <c r="B686" s="21" t="s">
        <v>1145</v>
      </c>
      <c r="D686" s="21" t="s">
        <v>2155</v>
      </c>
      <c r="F686" s="23" t="s">
        <v>254</v>
      </c>
      <c r="H686" s="21" t="s">
        <v>364</v>
      </c>
      <c r="J686" s="21" t="s">
        <v>263</v>
      </c>
      <c r="L686" s="21" t="s">
        <v>737</v>
      </c>
      <c r="N686" s="21" t="s">
        <v>103</v>
      </c>
      <c r="P686" s="21" t="s">
        <v>2163</v>
      </c>
      <c r="R686" s="21" t="s">
        <v>77</v>
      </c>
      <c r="T686" s="58" t="s">
        <v>2157</v>
      </c>
      <c r="V686" s="26" t="s">
        <v>79</v>
      </c>
      <c r="W686" s="60"/>
      <c r="X686" s="26" t="s">
        <v>79</v>
      </c>
      <c r="Y686" s="60"/>
      <c r="Z686" s="26" t="s">
        <v>79</v>
      </c>
      <c r="AA686" s="60"/>
      <c r="AB686" s="26" t="s">
        <v>80</v>
      </c>
      <c r="AC686" s="60"/>
      <c r="AD686" s="23" t="s">
        <v>2164</v>
      </c>
    </row>
    <row r="687" spans="1:31" ht="48.95" customHeight="1">
      <c r="B687" s="21" t="s">
        <v>1128</v>
      </c>
      <c r="D687" s="21" t="s">
        <v>2155</v>
      </c>
      <c r="F687" s="23" t="s">
        <v>254</v>
      </c>
      <c r="H687" s="21" t="s">
        <v>364</v>
      </c>
      <c r="J687" s="21" t="s">
        <v>263</v>
      </c>
      <c r="L687" s="21" t="s">
        <v>737</v>
      </c>
      <c r="N687" s="21" t="s">
        <v>103</v>
      </c>
      <c r="P687" s="21" t="s">
        <v>2165</v>
      </c>
      <c r="R687" s="21" t="s">
        <v>77</v>
      </c>
      <c r="T687" s="58" t="s">
        <v>2157</v>
      </c>
      <c r="V687" s="26" t="s">
        <v>79</v>
      </c>
      <c r="W687" s="60"/>
      <c r="X687" s="26" t="s">
        <v>79</v>
      </c>
      <c r="Y687" s="60"/>
      <c r="Z687" s="26" t="s">
        <v>79</v>
      </c>
      <c r="AA687" s="60"/>
      <c r="AB687" s="26" t="s">
        <v>80</v>
      </c>
      <c r="AC687" s="60"/>
      <c r="AD687" s="23" t="s">
        <v>2166</v>
      </c>
    </row>
    <row r="688" spans="1:31" ht="51">
      <c r="B688" s="21" t="s">
        <v>1130</v>
      </c>
      <c r="D688" s="21" t="s">
        <v>2155</v>
      </c>
      <c r="F688" s="23" t="s">
        <v>254</v>
      </c>
      <c r="H688" s="21" t="s">
        <v>291</v>
      </c>
      <c r="J688" s="21" t="s">
        <v>263</v>
      </c>
      <c r="L688" s="21" t="s">
        <v>737</v>
      </c>
      <c r="N688" s="21" t="s">
        <v>185</v>
      </c>
      <c r="P688" s="21" t="s">
        <v>2167</v>
      </c>
      <c r="R688" s="21" t="s">
        <v>77</v>
      </c>
      <c r="T688" s="58" t="s">
        <v>2157</v>
      </c>
      <c r="V688" s="26" t="s">
        <v>79</v>
      </c>
      <c r="W688" s="60"/>
      <c r="X688" s="26" t="s">
        <v>79</v>
      </c>
      <c r="Y688" s="60"/>
      <c r="Z688" s="26" t="s">
        <v>79</v>
      </c>
      <c r="AA688" s="60"/>
      <c r="AB688" s="26" t="s">
        <v>80</v>
      </c>
      <c r="AC688" s="60"/>
      <c r="AD688" s="23" t="s">
        <v>2168</v>
      </c>
    </row>
    <row r="689" spans="2:30" ht="51">
      <c r="B689" s="21" t="s">
        <v>1153</v>
      </c>
      <c r="D689" s="21" t="s">
        <v>2155</v>
      </c>
      <c r="F689" s="23" t="s">
        <v>254</v>
      </c>
      <c r="H689" s="21" t="s">
        <v>291</v>
      </c>
      <c r="J689" s="21" t="s">
        <v>263</v>
      </c>
      <c r="L689" s="21" t="s">
        <v>737</v>
      </c>
      <c r="N689" s="21" t="s">
        <v>185</v>
      </c>
      <c r="P689" s="21" t="s">
        <v>2169</v>
      </c>
      <c r="R689" s="21" t="s">
        <v>77</v>
      </c>
      <c r="T689" s="58" t="s">
        <v>2157</v>
      </c>
      <c r="V689" s="26" t="s">
        <v>79</v>
      </c>
      <c r="W689" s="60"/>
      <c r="X689" s="26" t="s">
        <v>79</v>
      </c>
      <c r="Y689" s="60"/>
      <c r="Z689" s="26" t="s">
        <v>79</v>
      </c>
      <c r="AA689" s="60"/>
      <c r="AB689" s="23" t="s">
        <v>753</v>
      </c>
      <c r="AC689" s="60"/>
      <c r="AD689" s="23" t="s">
        <v>2170</v>
      </c>
    </row>
    <row r="690" spans="2:30" ht="84.95">
      <c r="B690" s="21" t="s">
        <v>1156</v>
      </c>
      <c r="D690" s="21" t="s">
        <v>2155</v>
      </c>
      <c r="F690" s="23" t="s">
        <v>254</v>
      </c>
      <c r="H690" s="21" t="s">
        <v>291</v>
      </c>
      <c r="J690" s="21" t="s">
        <v>263</v>
      </c>
      <c r="L690" s="21" t="s">
        <v>737</v>
      </c>
      <c r="N690" s="21" t="s">
        <v>185</v>
      </c>
      <c r="P690" s="21" t="s">
        <v>1135</v>
      </c>
      <c r="R690" s="21" t="s">
        <v>77</v>
      </c>
      <c r="T690" s="58" t="s">
        <v>2157</v>
      </c>
      <c r="V690" s="26" t="s">
        <v>79</v>
      </c>
      <c r="W690" s="60"/>
      <c r="X690" s="26" t="s">
        <v>79</v>
      </c>
      <c r="Y690" s="60"/>
      <c r="Z690" s="26" t="s">
        <v>79</v>
      </c>
      <c r="AA690" s="60"/>
      <c r="AB690" s="26" t="s">
        <v>80</v>
      </c>
      <c r="AC690" s="60"/>
      <c r="AD690" s="23" t="s">
        <v>2171</v>
      </c>
    </row>
    <row r="691" spans="2:30" ht="119.1">
      <c r="B691" s="21" t="s">
        <v>2154</v>
      </c>
      <c r="C691" s="125"/>
      <c r="D691" s="21" t="s">
        <v>2172</v>
      </c>
      <c r="F691" s="23" t="s">
        <v>254</v>
      </c>
      <c r="H691" s="21" t="s">
        <v>262</v>
      </c>
      <c r="J691" s="21" t="s">
        <v>263</v>
      </c>
      <c r="L691" s="21" t="s">
        <v>737</v>
      </c>
      <c r="N691" s="21" t="s">
        <v>103</v>
      </c>
      <c r="P691" s="21" t="s">
        <v>2173</v>
      </c>
      <c r="Q691" s="126"/>
      <c r="R691" s="21" t="s">
        <v>77</v>
      </c>
      <c r="T691" s="58" t="s">
        <v>2157</v>
      </c>
      <c r="V691" s="26" t="s">
        <v>79</v>
      </c>
      <c r="W691" s="60"/>
      <c r="X691" s="26" t="s">
        <v>79</v>
      </c>
      <c r="Y691" s="60"/>
      <c r="Z691" s="26" t="s">
        <v>79</v>
      </c>
      <c r="AA691" s="60"/>
      <c r="AB691" s="26" t="s">
        <v>80</v>
      </c>
      <c r="AD691" s="106" t="s">
        <v>2174</v>
      </c>
    </row>
    <row r="692" spans="2:30" ht="33.950000000000003">
      <c r="B692" s="21" t="s">
        <v>1120</v>
      </c>
      <c r="C692" s="125"/>
      <c r="D692" s="21" t="s">
        <v>2172</v>
      </c>
      <c r="F692" s="23" t="s">
        <v>254</v>
      </c>
      <c r="H692" s="21" t="s">
        <v>364</v>
      </c>
      <c r="J692" s="21" t="s">
        <v>263</v>
      </c>
      <c r="L692" s="21" t="s">
        <v>737</v>
      </c>
      <c r="N692" s="21" t="s">
        <v>103</v>
      </c>
      <c r="P692" s="21" t="s">
        <v>2175</v>
      </c>
      <c r="Q692" s="126"/>
      <c r="R692" s="21" t="s">
        <v>77</v>
      </c>
      <c r="T692" s="58" t="s">
        <v>2157</v>
      </c>
      <c r="V692" s="26" t="s">
        <v>79</v>
      </c>
      <c r="W692" s="60"/>
      <c r="X692" s="26" t="s">
        <v>79</v>
      </c>
      <c r="Y692" s="60"/>
      <c r="Z692" s="26" t="s">
        <v>79</v>
      </c>
      <c r="AA692" s="60"/>
      <c r="AB692" s="26" t="s">
        <v>80</v>
      </c>
      <c r="AC692" s="60"/>
      <c r="AD692" s="106" t="s">
        <v>2176</v>
      </c>
    </row>
    <row r="693" spans="2:30" ht="51">
      <c r="B693" s="21" t="s">
        <v>1199</v>
      </c>
      <c r="C693" s="125"/>
      <c r="D693" s="21" t="s">
        <v>2172</v>
      </c>
      <c r="F693" s="23" t="s">
        <v>254</v>
      </c>
      <c r="H693" s="21" t="s">
        <v>298</v>
      </c>
      <c r="J693" s="21" t="s">
        <v>263</v>
      </c>
      <c r="L693" s="21" t="s">
        <v>737</v>
      </c>
      <c r="N693" s="21" t="s">
        <v>103</v>
      </c>
      <c r="P693" s="21" t="s">
        <v>2177</v>
      </c>
      <c r="Q693" s="126"/>
      <c r="R693" s="21" t="s">
        <v>77</v>
      </c>
      <c r="T693" s="58" t="s">
        <v>2157</v>
      </c>
      <c r="V693" s="26" t="s">
        <v>79</v>
      </c>
      <c r="W693" s="60"/>
      <c r="X693" s="26" t="s">
        <v>79</v>
      </c>
      <c r="Y693" s="60"/>
      <c r="Z693" s="26" t="s">
        <v>79</v>
      </c>
      <c r="AA693" s="60"/>
      <c r="AB693" s="26" t="s">
        <v>80</v>
      </c>
      <c r="AC693" s="60"/>
      <c r="AD693" s="106" t="s">
        <v>2178</v>
      </c>
    </row>
    <row r="694" spans="2:30" ht="56.1" customHeight="1">
      <c r="B694" s="21" t="s">
        <v>1124</v>
      </c>
      <c r="C694" s="125"/>
      <c r="D694" s="21" t="s">
        <v>2172</v>
      </c>
      <c r="F694" s="23" t="s">
        <v>254</v>
      </c>
      <c r="H694" s="21" t="s">
        <v>364</v>
      </c>
      <c r="J694" s="21" t="s">
        <v>263</v>
      </c>
      <c r="L694" s="21" t="s">
        <v>737</v>
      </c>
      <c r="N694" s="21" t="s">
        <v>103</v>
      </c>
      <c r="P694" s="21" t="s">
        <v>2179</v>
      </c>
      <c r="Q694" s="126"/>
      <c r="R694" s="21" t="s">
        <v>77</v>
      </c>
      <c r="T694" s="58" t="s">
        <v>2157</v>
      </c>
      <c r="V694" s="26" t="s">
        <v>79</v>
      </c>
      <c r="W694" s="60"/>
      <c r="X694" s="26" t="s">
        <v>79</v>
      </c>
      <c r="Y694" s="60"/>
      <c r="Z694" s="26" t="s">
        <v>79</v>
      </c>
      <c r="AA694" s="60"/>
      <c r="AB694" s="26" t="s">
        <v>80</v>
      </c>
      <c r="AC694" s="60"/>
      <c r="AD694" s="106" t="s">
        <v>2180</v>
      </c>
    </row>
    <row r="695" spans="2:30" ht="204">
      <c r="B695" s="21" t="s">
        <v>1145</v>
      </c>
      <c r="C695" s="125"/>
      <c r="D695" s="21" t="s">
        <v>2172</v>
      </c>
      <c r="F695" s="23" t="s">
        <v>254</v>
      </c>
      <c r="H695" s="21" t="s">
        <v>364</v>
      </c>
      <c r="J695" s="21" t="s">
        <v>263</v>
      </c>
      <c r="L695" s="21" t="s">
        <v>737</v>
      </c>
      <c r="N695" s="21" t="s">
        <v>103</v>
      </c>
      <c r="P695" s="21" t="s">
        <v>2181</v>
      </c>
      <c r="Q695" s="126"/>
      <c r="R695" s="21" t="s">
        <v>77</v>
      </c>
      <c r="T695" s="58" t="s">
        <v>2157</v>
      </c>
      <c r="V695" s="26" t="s">
        <v>79</v>
      </c>
      <c r="W695" s="60"/>
      <c r="X695" s="26" t="s">
        <v>79</v>
      </c>
      <c r="Y695" s="60"/>
      <c r="Z695" s="26" t="s">
        <v>79</v>
      </c>
      <c r="AA695" s="60"/>
      <c r="AB695" s="26" t="s">
        <v>80</v>
      </c>
      <c r="AC695" s="60"/>
      <c r="AD695" s="106" t="s">
        <v>2182</v>
      </c>
    </row>
    <row r="696" spans="2:30" ht="51">
      <c r="B696" s="21" t="s">
        <v>1148</v>
      </c>
      <c r="C696" s="125"/>
      <c r="D696" s="21" t="s">
        <v>2172</v>
      </c>
      <c r="F696" s="23" t="s">
        <v>254</v>
      </c>
      <c r="H696" s="21" t="s">
        <v>364</v>
      </c>
      <c r="J696" s="21" t="s">
        <v>263</v>
      </c>
      <c r="L696" s="21" t="s">
        <v>737</v>
      </c>
      <c r="N696" s="21" t="s">
        <v>103</v>
      </c>
      <c r="P696" s="21" t="s">
        <v>2183</v>
      </c>
      <c r="Q696" s="126"/>
      <c r="R696" s="21" t="s">
        <v>77</v>
      </c>
      <c r="T696" s="58" t="s">
        <v>2157</v>
      </c>
      <c r="V696" s="26" t="s">
        <v>79</v>
      </c>
      <c r="W696" s="60"/>
      <c r="X696" s="26" t="s">
        <v>79</v>
      </c>
      <c r="Y696" s="60"/>
      <c r="Z696" s="26" t="s">
        <v>79</v>
      </c>
      <c r="AA696" s="60"/>
      <c r="AB696" s="26" t="s">
        <v>80</v>
      </c>
      <c r="AC696" s="60"/>
      <c r="AD696" s="106" t="s">
        <v>2184</v>
      </c>
    </row>
    <row r="697" spans="2:30" ht="68.099999999999994">
      <c r="B697" s="21" t="s">
        <v>1130</v>
      </c>
      <c r="C697" s="125"/>
      <c r="D697" s="21" t="s">
        <v>2172</v>
      </c>
      <c r="F697" s="23" t="s">
        <v>254</v>
      </c>
      <c r="H697" s="21" t="s">
        <v>291</v>
      </c>
      <c r="J697" s="21" t="s">
        <v>263</v>
      </c>
      <c r="L697" s="21" t="s">
        <v>737</v>
      </c>
      <c r="N697" s="21" t="s">
        <v>185</v>
      </c>
      <c r="P697" s="21" t="s">
        <v>2185</v>
      </c>
      <c r="Q697" s="126"/>
      <c r="R697" s="21" t="s">
        <v>77</v>
      </c>
      <c r="T697" s="58" t="s">
        <v>2157</v>
      </c>
      <c r="V697" s="26" t="s">
        <v>79</v>
      </c>
      <c r="W697" s="60"/>
      <c r="X697" s="26" t="s">
        <v>79</v>
      </c>
      <c r="Y697" s="60"/>
      <c r="Z697" s="26" t="s">
        <v>79</v>
      </c>
      <c r="AA697" s="60"/>
      <c r="AB697" s="26" t="s">
        <v>80</v>
      </c>
      <c r="AC697" s="60"/>
      <c r="AD697" s="106" t="s">
        <v>2186</v>
      </c>
    </row>
    <row r="698" spans="2:30" ht="51">
      <c r="B698" s="21" t="s">
        <v>1153</v>
      </c>
      <c r="C698" s="125"/>
      <c r="D698" s="21" t="s">
        <v>2172</v>
      </c>
      <c r="F698" s="23" t="s">
        <v>254</v>
      </c>
      <c r="H698" s="21" t="s">
        <v>291</v>
      </c>
      <c r="J698" s="21" t="s">
        <v>263</v>
      </c>
      <c r="L698" s="21" t="s">
        <v>737</v>
      </c>
      <c r="N698" s="21" t="s">
        <v>185</v>
      </c>
      <c r="P698" s="21" t="s">
        <v>2187</v>
      </c>
      <c r="Q698" s="126"/>
      <c r="R698" s="21" t="s">
        <v>77</v>
      </c>
      <c r="T698" s="58" t="s">
        <v>2157</v>
      </c>
      <c r="V698" s="26" t="s">
        <v>79</v>
      </c>
      <c r="W698" s="60"/>
      <c r="X698" s="26" t="s">
        <v>79</v>
      </c>
      <c r="Y698" s="60"/>
      <c r="Z698" s="26" t="s">
        <v>79</v>
      </c>
      <c r="AA698" s="60"/>
      <c r="AB698" s="23" t="s">
        <v>753</v>
      </c>
      <c r="AC698" s="60"/>
      <c r="AD698" s="106" t="s">
        <v>2188</v>
      </c>
    </row>
    <row r="699" spans="2:30" ht="84.95">
      <c r="B699" s="21" t="s">
        <v>1156</v>
      </c>
      <c r="C699" s="125"/>
      <c r="D699" s="21" t="s">
        <v>2172</v>
      </c>
      <c r="F699" s="23" t="s">
        <v>254</v>
      </c>
      <c r="H699" s="21" t="s">
        <v>291</v>
      </c>
      <c r="J699" s="21" t="s">
        <v>263</v>
      </c>
      <c r="L699" s="21" t="s">
        <v>737</v>
      </c>
      <c r="N699" s="21" t="s">
        <v>185</v>
      </c>
      <c r="P699" s="21" t="s">
        <v>1135</v>
      </c>
      <c r="Q699" s="126"/>
      <c r="R699" s="21" t="s">
        <v>77</v>
      </c>
      <c r="T699" s="58" t="s">
        <v>2157</v>
      </c>
      <c r="V699" s="26" t="s">
        <v>79</v>
      </c>
      <c r="W699" s="60"/>
      <c r="X699" s="26" t="s">
        <v>79</v>
      </c>
      <c r="Y699" s="60"/>
      <c r="Z699" s="26" t="s">
        <v>79</v>
      </c>
      <c r="AA699" s="60"/>
      <c r="AB699" s="26" t="s">
        <v>80</v>
      </c>
      <c r="AC699" s="60"/>
      <c r="AD699" s="106" t="s">
        <v>2189</v>
      </c>
    </row>
    <row r="700" spans="2:30" ht="119.1">
      <c r="B700" s="21" t="s">
        <v>2154</v>
      </c>
      <c r="C700" s="125"/>
      <c r="D700" s="21" t="s">
        <v>2190</v>
      </c>
      <c r="F700" s="23" t="s">
        <v>254</v>
      </c>
      <c r="H700" s="21" t="s">
        <v>262</v>
      </c>
      <c r="J700" s="21" t="s">
        <v>263</v>
      </c>
      <c r="L700" s="21" t="s">
        <v>737</v>
      </c>
      <c r="N700" s="21" t="s">
        <v>103</v>
      </c>
      <c r="P700" s="21" t="s">
        <v>2191</v>
      </c>
      <c r="Q700" s="126"/>
      <c r="R700" s="21" t="s">
        <v>77</v>
      </c>
      <c r="T700" s="58" t="s">
        <v>2157</v>
      </c>
      <c r="V700" s="26" t="s">
        <v>79</v>
      </c>
      <c r="W700" s="60"/>
      <c r="X700" s="26" t="s">
        <v>79</v>
      </c>
      <c r="Y700" s="60"/>
      <c r="Z700" s="26" t="s">
        <v>79</v>
      </c>
      <c r="AA700" s="60"/>
      <c r="AB700" s="26" t="s">
        <v>80</v>
      </c>
      <c r="AD700" s="83" t="s">
        <v>2192</v>
      </c>
    </row>
    <row r="701" spans="2:30" ht="33.950000000000003">
      <c r="B701" s="21" t="s">
        <v>1120</v>
      </c>
      <c r="C701" s="125"/>
      <c r="D701" s="21" t="s">
        <v>2190</v>
      </c>
      <c r="F701" s="23" t="s">
        <v>254</v>
      </c>
      <c r="H701" s="21" t="s">
        <v>364</v>
      </c>
      <c r="J701" s="21" t="s">
        <v>263</v>
      </c>
      <c r="L701" s="21" t="s">
        <v>737</v>
      </c>
      <c r="N701" s="21" t="s">
        <v>103</v>
      </c>
      <c r="P701" s="21" t="s">
        <v>2193</v>
      </c>
      <c r="Q701" s="126"/>
      <c r="R701" s="21" t="s">
        <v>77</v>
      </c>
      <c r="T701" s="58" t="s">
        <v>2157</v>
      </c>
      <c r="V701" s="26" t="s">
        <v>79</v>
      </c>
      <c r="W701" s="60"/>
      <c r="X701" s="26" t="s">
        <v>79</v>
      </c>
      <c r="Y701" s="60"/>
      <c r="Z701" s="26" t="s">
        <v>79</v>
      </c>
      <c r="AA701" s="60"/>
      <c r="AB701" s="26" t="s">
        <v>80</v>
      </c>
      <c r="AC701" s="60"/>
      <c r="AD701" s="83" t="s">
        <v>2194</v>
      </c>
    </row>
    <row r="702" spans="2:30" ht="51">
      <c r="B702" s="21" t="s">
        <v>1199</v>
      </c>
      <c r="C702" s="125"/>
      <c r="D702" s="21" t="s">
        <v>2190</v>
      </c>
      <c r="F702" s="23" t="s">
        <v>254</v>
      </c>
      <c r="H702" s="21" t="s">
        <v>298</v>
      </c>
      <c r="J702" s="21" t="s">
        <v>263</v>
      </c>
      <c r="L702" s="21" t="s">
        <v>737</v>
      </c>
      <c r="N702" s="21" t="s">
        <v>103</v>
      </c>
      <c r="P702" s="21" t="s">
        <v>2195</v>
      </c>
      <c r="Q702" s="126"/>
      <c r="R702" s="21" t="s">
        <v>77</v>
      </c>
      <c r="T702" s="58" t="s">
        <v>2157</v>
      </c>
      <c r="V702" s="26" t="s">
        <v>79</v>
      </c>
      <c r="W702" s="60"/>
      <c r="X702" s="26" t="s">
        <v>79</v>
      </c>
      <c r="Y702" s="60"/>
      <c r="Z702" s="26" t="s">
        <v>79</v>
      </c>
      <c r="AA702" s="60"/>
      <c r="AB702" s="26" t="s">
        <v>80</v>
      </c>
      <c r="AC702" s="60"/>
      <c r="AD702" s="83" t="s">
        <v>2196</v>
      </c>
    </row>
    <row r="703" spans="2:30" ht="50.1" customHeight="1">
      <c r="B703" s="21" t="s">
        <v>1124</v>
      </c>
      <c r="C703" s="125"/>
      <c r="D703" s="21" t="s">
        <v>2190</v>
      </c>
      <c r="F703" s="23" t="s">
        <v>254</v>
      </c>
      <c r="H703" s="21" t="s">
        <v>364</v>
      </c>
      <c r="J703" s="21" t="s">
        <v>263</v>
      </c>
      <c r="L703" s="21" t="s">
        <v>737</v>
      </c>
      <c r="N703" s="21" t="s">
        <v>103</v>
      </c>
      <c r="P703" s="21" t="s">
        <v>1964</v>
      </c>
      <c r="Q703" s="126"/>
      <c r="R703" s="21" t="s">
        <v>77</v>
      </c>
      <c r="T703" s="58" t="s">
        <v>2157</v>
      </c>
      <c r="V703" s="26" t="s">
        <v>79</v>
      </c>
      <c r="W703" s="60"/>
      <c r="X703" s="26" t="s">
        <v>79</v>
      </c>
      <c r="Y703" s="60"/>
      <c r="Z703" s="26" t="s">
        <v>79</v>
      </c>
      <c r="AA703" s="60"/>
      <c r="AB703" s="26" t="s">
        <v>80</v>
      </c>
      <c r="AC703" s="60"/>
      <c r="AD703" s="83" t="s">
        <v>2197</v>
      </c>
    </row>
    <row r="704" spans="2:30" ht="204">
      <c r="B704" s="21" t="s">
        <v>1145</v>
      </c>
      <c r="C704" s="125"/>
      <c r="D704" s="21" t="s">
        <v>2190</v>
      </c>
      <c r="F704" s="23" t="s">
        <v>254</v>
      </c>
      <c r="H704" s="21" t="s">
        <v>364</v>
      </c>
      <c r="J704" s="21" t="s">
        <v>263</v>
      </c>
      <c r="L704" s="21" t="s">
        <v>737</v>
      </c>
      <c r="N704" s="21" t="s">
        <v>103</v>
      </c>
      <c r="P704" s="21" t="s">
        <v>2198</v>
      </c>
      <c r="Q704" s="126"/>
      <c r="R704" s="21" t="s">
        <v>77</v>
      </c>
      <c r="T704" s="58" t="s">
        <v>2157</v>
      </c>
      <c r="V704" s="26" t="s">
        <v>79</v>
      </c>
      <c r="W704" s="60"/>
      <c r="X704" s="26" t="s">
        <v>79</v>
      </c>
      <c r="Y704" s="60"/>
      <c r="Z704" s="26" t="s">
        <v>79</v>
      </c>
      <c r="AA704" s="60"/>
      <c r="AB704" s="26" t="s">
        <v>80</v>
      </c>
      <c r="AC704" s="60"/>
      <c r="AD704" s="83" t="s">
        <v>2199</v>
      </c>
    </row>
    <row r="705" spans="2:30" ht="84.95">
      <c r="B705" s="21" t="s">
        <v>1148</v>
      </c>
      <c r="C705" s="125"/>
      <c r="D705" s="21" t="s">
        <v>2190</v>
      </c>
      <c r="F705" s="23" t="s">
        <v>254</v>
      </c>
      <c r="H705" s="21" t="s">
        <v>364</v>
      </c>
      <c r="J705" s="21" t="s">
        <v>263</v>
      </c>
      <c r="L705" s="21" t="s">
        <v>737</v>
      </c>
      <c r="N705" s="21" t="s">
        <v>103</v>
      </c>
      <c r="P705" s="21" t="s">
        <v>2200</v>
      </c>
      <c r="Q705" s="126"/>
      <c r="R705" s="21" t="s">
        <v>77</v>
      </c>
      <c r="T705" s="58" t="s">
        <v>2157</v>
      </c>
      <c r="V705" s="26" t="s">
        <v>79</v>
      </c>
      <c r="W705" s="60"/>
      <c r="X705" s="26" t="s">
        <v>79</v>
      </c>
      <c r="Y705" s="60"/>
      <c r="Z705" s="26" t="s">
        <v>79</v>
      </c>
      <c r="AA705" s="60"/>
      <c r="AB705" s="26" t="s">
        <v>80</v>
      </c>
      <c r="AC705" s="60"/>
      <c r="AD705" s="83" t="s">
        <v>2201</v>
      </c>
    </row>
    <row r="706" spans="2:30" ht="51">
      <c r="B706" s="21" t="s">
        <v>1130</v>
      </c>
      <c r="C706" s="125"/>
      <c r="D706" s="21" t="s">
        <v>2190</v>
      </c>
      <c r="F706" s="23" t="s">
        <v>254</v>
      </c>
      <c r="H706" s="21" t="s">
        <v>291</v>
      </c>
      <c r="J706" s="21" t="s">
        <v>263</v>
      </c>
      <c r="L706" s="21" t="s">
        <v>737</v>
      </c>
      <c r="N706" s="21" t="s">
        <v>185</v>
      </c>
      <c r="P706" s="21" t="s">
        <v>2202</v>
      </c>
      <c r="Q706" s="126"/>
      <c r="R706" s="21" t="s">
        <v>77</v>
      </c>
      <c r="T706" s="58" t="s">
        <v>2157</v>
      </c>
      <c r="V706" s="26" t="s">
        <v>79</v>
      </c>
      <c r="W706" s="60"/>
      <c r="X706" s="26" t="s">
        <v>79</v>
      </c>
      <c r="Y706" s="60"/>
      <c r="Z706" s="26" t="s">
        <v>79</v>
      </c>
      <c r="AA706" s="60"/>
      <c r="AB706" s="26" t="s">
        <v>80</v>
      </c>
      <c r="AC706" s="60"/>
      <c r="AD706" s="83" t="s">
        <v>2203</v>
      </c>
    </row>
    <row r="707" spans="2:30" ht="51">
      <c r="B707" s="21" t="s">
        <v>1153</v>
      </c>
      <c r="C707" s="125"/>
      <c r="D707" s="21" t="s">
        <v>2190</v>
      </c>
      <c r="F707" s="23" t="s">
        <v>254</v>
      </c>
      <c r="H707" s="21" t="s">
        <v>291</v>
      </c>
      <c r="J707" s="21" t="s">
        <v>263</v>
      </c>
      <c r="L707" s="21" t="s">
        <v>737</v>
      </c>
      <c r="N707" s="21" t="s">
        <v>185</v>
      </c>
      <c r="P707" s="21" t="s">
        <v>2204</v>
      </c>
      <c r="Q707" s="126"/>
      <c r="R707" s="21" t="s">
        <v>77</v>
      </c>
      <c r="T707" s="58" t="s">
        <v>2157</v>
      </c>
      <c r="V707" s="26" t="s">
        <v>79</v>
      </c>
      <c r="W707" s="60"/>
      <c r="X707" s="26" t="s">
        <v>79</v>
      </c>
      <c r="Y707" s="60"/>
      <c r="Z707" s="26" t="s">
        <v>79</v>
      </c>
      <c r="AA707" s="60"/>
      <c r="AB707" s="23" t="s">
        <v>753</v>
      </c>
      <c r="AC707" s="60"/>
      <c r="AD707" s="83" t="s">
        <v>2205</v>
      </c>
    </row>
    <row r="708" spans="2:30" ht="84.95">
      <c r="B708" s="21" t="s">
        <v>1156</v>
      </c>
      <c r="C708" s="125"/>
      <c r="D708" s="21" t="s">
        <v>2190</v>
      </c>
      <c r="F708" s="23" t="s">
        <v>254</v>
      </c>
      <c r="H708" s="21" t="s">
        <v>291</v>
      </c>
      <c r="J708" s="21" t="s">
        <v>263</v>
      </c>
      <c r="L708" s="21" t="s">
        <v>737</v>
      </c>
      <c r="N708" s="21" t="s">
        <v>185</v>
      </c>
      <c r="P708" s="21" t="s">
        <v>1135</v>
      </c>
      <c r="Q708" s="126"/>
      <c r="R708" s="21" t="s">
        <v>77</v>
      </c>
      <c r="T708" s="58" t="s">
        <v>2157</v>
      </c>
      <c r="V708" s="26" t="s">
        <v>79</v>
      </c>
      <c r="W708" s="60"/>
      <c r="X708" s="26" t="s">
        <v>79</v>
      </c>
      <c r="Y708" s="60"/>
      <c r="Z708" s="26" t="s">
        <v>79</v>
      </c>
      <c r="AA708" s="60"/>
      <c r="AB708" s="26" t="s">
        <v>80</v>
      </c>
      <c r="AC708" s="60"/>
      <c r="AD708" s="106" t="s">
        <v>2206</v>
      </c>
    </row>
    <row r="709" spans="2:30" ht="119.1">
      <c r="B709" s="21" t="s">
        <v>2154</v>
      </c>
      <c r="C709" s="125"/>
      <c r="D709" s="21" t="s">
        <v>553</v>
      </c>
      <c r="F709" s="23" t="s">
        <v>254</v>
      </c>
      <c r="H709" s="21" t="s">
        <v>262</v>
      </c>
      <c r="J709" s="21" t="s">
        <v>263</v>
      </c>
      <c r="L709" s="21" t="s">
        <v>737</v>
      </c>
      <c r="N709" s="21" t="s">
        <v>103</v>
      </c>
      <c r="P709" s="21" t="s">
        <v>2207</v>
      </c>
      <c r="Q709" s="126"/>
      <c r="R709" s="21" t="s">
        <v>77</v>
      </c>
      <c r="T709" s="58" t="s">
        <v>2157</v>
      </c>
      <c r="V709" s="26" t="s">
        <v>79</v>
      </c>
      <c r="W709" s="60"/>
      <c r="X709" s="26" t="s">
        <v>79</v>
      </c>
      <c r="Y709" s="60"/>
      <c r="Z709" s="26" t="s">
        <v>79</v>
      </c>
      <c r="AA709" s="60"/>
      <c r="AB709" s="26" t="s">
        <v>80</v>
      </c>
      <c r="AD709" s="83" t="s">
        <v>2208</v>
      </c>
    </row>
    <row r="710" spans="2:30" ht="45" customHeight="1">
      <c r="B710" s="21" t="s">
        <v>1120</v>
      </c>
      <c r="C710" s="125"/>
      <c r="D710" s="21" t="s">
        <v>553</v>
      </c>
      <c r="F710" s="23" t="s">
        <v>254</v>
      </c>
      <c r="H710" s="21" t="s">
        <v>364</v>
      </c>
      <c r="J710" s="21" t="s">
        <v>263</v>
      </c>
      <c r="L710" s="21" t="s">
        <v>737</v>
      </c>
      <c r="N710" s="21" t="s">
        <v>103</v>
      </c>
      <c r="P710" s="21" t="s">
        <v>2209</v>
      </c>
      <c r="Q710" s="126"/>
      <c r="R710" s="21" t="s">
        <v>77</v>
      </c>
      <c r="T710" s="58" t="s">
        <v>2157</v>
      </c>
      <c r="V710" s="26" t="s">
        <v>79</v>
      </c>
      <c r="W710" s="60"/>
      <c r="X710" s="26" t="s">
        <v>79</v>
      </c>
      <c r="Y710" s="60"/>
      <c r="Z710" s="26" t="s">
        <v>79</v>
      </c>
      <c r="AA710" s="60"/>
      <c r="AB710" s="26" t="s">
        <v>80</v>
      </c>
      <c r="AC710" s="60"/>
      <c r="AD710" s="106" t="s">
        <v>2210</v>
      </c>
    </row>
    <row r="711" spans="2:30" ht="47.1" customHeight="1">
      <c r="B711" s="21" t="s">
        <v>1199</v>
      </c>
      <c r="C711" s="125"/>
      <c r="D711" s="21" t="s">
        <v>553</v>
      </c>
      <c r="F711" s="23" t="s">
        <v>254</v>
      </c>
      <c r="H711" s="21" t="s">
        <v>298</v>
      </c>
      <c r="J711" s="21" t="s">
        <v>263</v>
      </c>
      <c r="L711" s="21" t="s">
        <v>737</v>
      </c>
      <c r="N711" s="21" t="s">
        <v>103</v>
      </c>
      <c r="P711" s="21" t="s">
        <v>2211</v>
      </c>
      <c r="Q711" s="126"/>
      <c r="R711" s="21" t="s">
        <v>77</v>
      </c>
      <c r="T711" s="58" t="s">
        <v>2157</v>
      </c>
      <c r="V711" s="26" t="s">
        <v>79</v>
      </c>
      <c r="W711" s="60"/>
      <c r="X711" s="26" t="s">
        <v>79</v>
      </c>
      <c r="Y711" s="60"/>
      <c r="Z711" s="26" t="s">
        <v>79</v>
      </c>
      <c r="AA711" s="60"/>
      <c r="AB711" s="26" t="s">
        <v>80</v>
      </c>
      <c r="AC711" s="60"/>
      <c r="AD711" s="83" t="s">
        <v>2212</v>
      </c>
    </row>
    <row r="712" spans="2:30" ht="68.099999999999994">
      <c r="B712" s="21" t="s">
        <v>1124</v>
      </c>
      <c r="C712" s="125"/>
      <c r="D712" s="21" t="s">
        <v>553</v>
      </c>
      <c r="F712" s="23" t="s">
        <v>254</v>
      </c>
      <c r="H712" s="21" t="s">
        <v>364</v>
      </c>
      <c r="J712" s="21" t="s">
        <v>263</v>
      </c>
      <c r="L712" s="21" t="s">
        <v>737</v>
      </c>
      <c r="N712" s="21" t="s">
        <v>103</v>
      </c>
      <c r="P712" s="21" t="s">
        <v>2213</v>
      </c>
      <c r="Q712" s="126"/>
      <c r="R712" s="21" t="s">
        <v>77</v>
      </c>
      <c r="T712" s="58" t="s">
        <v>2157</v>
      </c>
      <c r="V712" s="26" t="s">
        <v>79</v>
      </c>
      <c r="W712" s="60"/>
      <c r="X712" s="26" t="s">
        <v>79</v>
      </c>
      <c r="Y712" s="60"/>
      <c r="Z712" s="26" t="s">
        <v>79</v>
      </c>
      <c r="AA712" s="60"/>
      <c r="AB712" s="26" t="s">
        <v>80</v>
      </c>
      <c r="AC712" s="60"/>
      <c r="AD712" s="83" t="s">
        <v>2214</v>
      </c>
    </row>
    <row r="713" spans="2:30" ht="204">
      <c r="B713" s="21" t="s">
        <v>1145</v>
      </c>
      <c r="C713" s="125"/>
      <c r="D713" s="21" t="s">
        <v>553</v>
      </c>
      <c r="F713" s="23" t="s">
        <v>254</v>
      </c>
      <c r="H713" s="21" t="s">
        <v>364</v>
      </c>
      <c r="J713" s="21" t="s">
        <v>263</v>
      </c>
      <c r="L713" s="21" t="s">
        <v>737</v>
      </c>
      <c r="N713" s="21" t="s">
        <v>103</v>
      </c>
      <c r="P713" s="21" t="s">
        <v>2215</v>
      </c>
      <c r="Q713" s="126"/>
      <c r="R713" s="21" t="s">
        <v>77</v>
      </c>
      <c r="T713" s="58" t="s">
        <v>2157</v>
      </c>
      <c r="V713" s="26" t="s">
        <v>79</v>
      </c>
      <c r="W713" s="60"/>
      <c r="X713" s="26" t="s">
        <v>79</v>
      </c>
      <c r="Y713" s="60"/>
      <c r="Z713" s="26" t="s">
        <v>79</v>
      </c>
      <c r="AA713" s="60"/>
      <c r="AB713" s="26" t="s">
        <v>80</v>
      </c>
      <c r="AC713" s="60"/>
      <c r="AD713" s="106" t="s">
        <v>2216</v>
      </c>
    </row>
    <row r="714" spans="2:30" ht="51">
      <c r="B714" s="21" t="s">
        <v>1148</v>
      </c>
      <c r="C714" s="125"/>
      <c r="D714" s="21" t="s">
        <v>553</v>
      </c>
      <c r="F714" s="23" t="s">
        <v>254</v>
      </c>
      <c r="H714" s="21" t="s">
        <v>364</v>
      </c>
      <c r="J714" s="21" t="s">
        <v>263</v>
      </c>
      <c r="L714" s="21" t="s">
        <v>737</v>
      </c>
      <c r="N714" s="21" t="s">
        <v>103</v>
      </c>
      <c r="P714" s="21" t="s">
        <v>2217</v>
      </c>
      <c r="Q714" s="126"/>
      <c r="R714" s="21" t="s">
        <v>77</v>
      </c>
      <c r="T714" s="58" t="s">
        <v>2157</v>
      </c>
      <c r="V714" s="26" t="s">
        <v>79</v>
      </c>
      <c r="W714" s="60"/>
      <c r="X714" s="26" t="s">
        <v>79</v>
      </c>
      <c r="Y714" s="60"/>
      <c r="Z714" s="26" t="s">
        <v>79</v>
      </c>
      <c r="AA714" s="60"/>
      <c r="AB714" s="26" t="s">
        <v>80</v>
      </c>
      <c r="AC714" s="60"/>
      <c r="AD714" s="106" t="s">
        <v>2218</v>
      </c>
    </row>
    <row r="715" spans="2:30" ht="50.1" customHeight="1">
      <c r="B715" s="21" t="s">
        <v>1130</v>
      </c>
      <c r="C715" s="125"/>
      <c r="D715" s="21" t="s">
        <v>553</v>
      </c>
      <c r="F715" s="23" t="s">
        <v>254</v>
      </c>
      <c r="H715" s="21" t="s">
        <v>291</v>
      </c>
      <c r="J715" s="21" t="s">
        <v>263</v>
      </c>
      <c r="L715" s="21" t="s">
        <v>737</v>
      </c>
      <c r="N715" s="21" t="s">
        <v>185</v>
      </c>
      <c r="P715" s="21" t="s">
        <v>2219</v>
      </c>
      <c r="Q715" s="126"/>
      <c r="R715" s="21" t="s">
        <v>77</v>
      </c>
      <c r="T715" s="58" t="s">
        <v>2157</v>
      </c>
      <c r="V715" s="26" t="s">
        <v>79</v>
      </c>
      <c r="W715" s="60"/>
      <c r="X715" s="26" t="s">
        <v>79</v>
      </c>
      <c r="Y715" s="60"/>
      <c r="Z715" s="26" t="s">
        <v>79</v>
      </c>
      <c r="AA715" s="60"/>
      <c r="AB715" s="26" t="s">
        <v>80</v>
      </c>
      <c r="AC715" s="60"/>
      <c r="AD715" s="83" t="s">
        <v>2220</v>
      </c>
    </row>
    <row r="716" spans="2:30" ht="51">
      <c r="B716" s="21" t="s">
        <v>1153</v>
      </c>
      <c r="C716" s="125"/>
      <c r="D716" s="21" t="s">
        <v>553</v>
      </c>
      <c r="F716" s="23" t="s">
        <v>254</v>
      </c>
      <c r="H716" s="21" t="s">
        <v>291</v>
      </c>
      <c r="J716" s="21" t="s">
        <v>263</v>
      </c>
      <c r="L716" s="21" t="s">
        <v>737</v>
      </c>
      <c r="N716" s="21" t="s">
        <v>185</v>
      </c>
      <c r="P716" s="21" t="s">
        <v>2221</v>
      </c>
      <c r="Q716" s="126"/>
      <c r="R716" s="21" t="s">
        <v>77</v>
      </c>
      <c r="T716" s="58" t="s">
        <v>2157</v>
      </c>
      <c r="V716" s="26" t="s">
        <v>79</v>
      </c>
      <c r="W716" s="60"/>
      <c r="X716" s="26" t="s">
        <v>79</v>
      </c>
      <c r="Y716" s="60"/>
      <c r="Z716" s="26" t="s">
        <v>79</v>
      </c>
      <c r="AA716" s="60"/>
      <c r="AB716" s="23" t="s">
        <v>753</v>
      </c>
      <c r="AC716" s="60"/>
      <c r="AD716" s="83" t="s">
        <v>2222</v>
      </c>
    </row>
    <row r="717" spans="2:30" ht="84.95">
      <c r="B717" s="21" t="s">
        <v>1156</v>
      </c>
      <c r="C717" s="125"/>
      <c r="D717" s="21" t="s">
        <v>553</v>
      </c>
      <c r="F717" s="23" t="s">
        <v>254</v>
      </c>
      <c r="H717" s="21" t="s">
        <v>291</v>
      </c>
      <c r="J717" s="21" t="s">
        <v>263</v>
      </c>
      <c r="L717" s="21" t="s">
        <v>737</v>
      </c>
      <c r="N717" s="21" t="s">
        <v>185</v>
      </c>
      <c r="P717" s="21" t="s">
        <v>1135</v>
      </c>
      <c r="Q717" s="126"/>
      <c r="R717" s="21" t="s">
        <v>77</v>
      </c>
      <c r="T717" s="58" t="s">
        <v>2157</v>
      </c>
      <c r="V717" s="26" t="s">
        <v>79</v>
      </c>
      <c r="W717" s="60"/>
      <c r="X717" s="26" t="s">
        <v>79</v>
      </c>
      <c r="Y717" s="60"/>
      <c r="Z717" s="26" t="s">
        <v>79</v>
      </c>
      <c r="AA717" s="60"/>
      <c r="AB717" s="26" t="s">
        <v>80</v>
      </c>
      <c r="AC717" s="60"/>
      <c r="AD717" s="106" t="s">
        <v>2223</v>
      </c>
    </row>
    <row r="718" spans="2:30" ht="356.1">
      <c r="B718" s="21" t="s">
        <v>2154</v>
      </c>
      <c r="C718" s="125"/>
      <c r="D718" s="21" t="s">
        <v>2224</v>
      </c>
      <c r="F718" s="23" t="s">
        <v>254</v>
      </c>
      <c r="H718" s="21" t="s">
        <v>262</v>
      </c>
      <c r="J718" s="21" t="s">
        <v>263</v>
      </c>
      <c r="L718" s="21" t="s">
        <v>737</v>
      </c>
      <c r="N718" s="21" t="s">
        <v>103</v>
      </c>
      <c r="P718" s="21" t="s">
        <v>2225</v>
      </c>
      <c r="Q718" s="126"/>
      <c r="R718" s="21" t="s">
        <v>77</v>
      </c>
      <c r="T718" s="58" t="s">
        <v>2157</v>
      </c>
      <c r="V718" s="26" t="s">
        <v>79</v>
      </c>
      <c r="W718" s="60"/>
      <c r="X718" s="26" t="s">
        <v>79</v>
      </c>
      <c r="Y718" s="60"/>
      <c r="Z718" s="26" t="s">
        <v>79</v>
      </c>
      <c r="AA718" s="60"/>
      <c r="AB718" s="26" t="s">
        <v>80</v>
      </c>
      <c r="AD718" s="83" t="s">
        <v>2226</v>
      </c>
    </row>
    <row r="719" spans="2:30" ht="50.1" customHeight="1">
      <c r="B719" s="21" t="s">
        <v>1120</v>
      </c>
      <c r="C719" s="125"/>
      <c r="D719" s="21" t="s">
        <v>2224</v>
      </c>
      <c r="F719" s="23" t="s">
        <v>254</v>
      </c>
      <c r="H719" s="21" t="s">
        <v>364</v>
      </c>
      <c r="J719" s="21" t="s">
        <v>263</v>
      </c>
      <c r="L719" s="21" t="s">
        <v>737</v>
      </c>
      <c r="N719" s="21" t="s">
        <v>103</v>
      </c>
      <c r="P719" s="21" t="s">
        <v>2227</v>
      </c>
      <c r="Q719" s="126"/>
      <c r="R719" s="21" t="s">
        <v>77</v>
      </c>
      <c r="T719" s="58" t="s">
        <v>2157</v>
      </c>
      <c r="V719" s="26" t="s">
        <v>79</v>
      </c>
      <c r="W719" s="60"/>
      <c r="X719" s="26" t="s">
        <v>79</v>
      </c>
      <c r="Y719" s="60"/>
      <c r="Z719" s="26" t="s">
        <v>79</v>
      </c>
      <c r="AA719" s="60"/>
      <c r="AB719" s="26" t="s">
        <v>80</v>
      </c>
      <c r="AC719" s="60"/>
      <c r="AD719" s="106" t="s">
        <v>2228</v>
      </c>
    </row>
    <row r="720" spans="2:30" ht="119.1">
      <c r="B720" s="21" t="s">
        <v>1199</v>
      </c>
      <c r="C720" s="125"/>
      <c r="D720" s="21" t="s">
        <v>2224</v>
      </c>
      <c r="F720" s="23" t="s">
        <v>254</v>
      </c>
      <c r="H720" s="21" t="s">
        <v>298</v>
      </c>
      <c r="J720" s="21" t="s">
        <v>263</v>
      </c>
      <c r="L720" s="21" t="s">
        <v>737</v>
      </c>
      <c r="N720" s="21" t="s">
        <v>103</v>
      </c>
      <c r="P720" s="21" t="s">
        <v>2229</v>
      </c>
      <c r="Q720" s="126"/>
      <c r="R720" s="21" t="s">
        <v>77</v>
      </c>
      <c r="T720" s="58" t="s">
        <v>2157</v>
      </c>
      <c r="V720" s="26" t="s">
        <v>79</v>
      </c>
      <c r="W720" s="60"/>
      <c r="X720" s="26" t="s">
        <v>79</v>
      </c>
      <c r="Y720" s="60"/>
      <c r="Z720" s="26" t="s">
        <v>79</v>
      </c>
      <c r="AA720" s="60"/>
      <c r="AB720" s="26" t="s">
        <v>80</v>
      </c>
      <c r="AC720" s="60"/>
      <c r="AD720" s="83" t="s">
        <v>2230</v>
      </c>
    </row>
    <row r="721" spans="2:30" ht="54" customHeight="1">
      <c r="B721" s="21" t="s">
        <v>1124</v>
      </c>
      <c r="C721" s="125"/>
      <c r="D721" s="21" t="s">
        <v>2224</v>
      </c>
      <c r="F721" s="23" t="s">
        <v>254</v>
      </c>
      <c r="H721" s="21" t="s">
        <v>364</v>
      </c>
      <c r="J721" s="21" t="s">
        <v>263</v>
      </c>
      <c r="L721" s="21" t="s">
        <v>737</v>
      </c>
      <c r="N721" s="21" t="s">
        <v>103</v>
      </c>
      <c r="P721" s="21" t="s">
        <v>2231</v>
      </c>
      <c r="Q721" s="126"/>
      <c r="R721" s="21" t="s">
        <v>77</v>
      </c>
      <c r="T721" s="58" t="s">
        <v>2157</v>
      </c>
      <c r="V721" s="26" t="s">
        <v>79</v>
      </c>
      <c r="W721" s="60"/>
      <c r="X721" s="26" t="s">
        <v>79</v>
      </c>
      <c r="Y721" s="60"/>
      <c r="Z721" s="26" t="s">
        <v>79</v>
      </c>
      <c r="AA721" s="60"/>
      <c r="AB721" s="26" t="s">
        <v>80</v>
      </c>
      <c r="AC721" s="60"/>
      <c r="AD721" s="83" t="s">
        <v>2232</v>
      </c>
    </row>
    <row r="722" spans="2:30" ht="221.1">
      <c r="B722" s="21" t="s">
        <v>1145</v>
      </c>
      <c r="C722" s="125"/>
      <c r="D722" s="21" t="s">
        <v>2224</v>
      </c>
      <c r="F722" s="23" t="s">
        <v>254</v>
      </c>
      <c r="H722" s="21" t="s">
        <v>364</v>
      </c>
      <c r="J722" s="21" t="s">
        <v>263</v>
      </c>
      <c r="L722" s="21" t="s">
        <v>737</v>
      </c>
      <c r="N722" s="21" t="s">
        <v>103</v>
      </c>
      <c r="P722" s="21" t="s">
        <v>2233</v>
      </c>
      <c r="Q722" s="126"/>
      <c r="R722" s="21" t="s">
        <v>77</v>
      </c>
      <c r="T722" s="58" t="s">
        <v>2157</v>
      </c>
      <c r="V722" s="26" t="s">
        <v>79</v>
      </c>
      <c r="W722" s="60"/>
      <c r="X722" s="26" t="s">
        <v>79</v>
      </c>
      <c r="Y722" s="60"/>
      <c r="Z722" s="26" t="s">
        <v>79</v>
      </c>
      <c r="AA722" s="60"/>
      <c r="AB722" s="26" t="s">
        <v>80</v>
      </c>
      <c r="AC722" s="60"/>
      <c r="AD722" s="106" t="s">
        <v>2234</v>
      </c>
    </row>
    <row r="723" spans="2:30" ht="204">
      <c r="B723" s="21" t="s">
        <v>1148</v>
      </c>
      <c r="C723" s="125"/>
      <c r="D723" s="21" t="s">
        <v>2224</v>
      </c>
      <c r="F723" s="23" t="s">
        <v>254</v>
      </c>
      <c r="H723" s="21" t="s">
        <v>364</v>
      </c>
      <c r="J723" s="21" t="s">
        <v>263</v>
      </c>
      <c r="L723" s="21" t="s">
        <v>737</v>
      </c>
      <c r="N723" s="21" t="s">
        <v>103</v>
      </c>
      <c r="P723" s="21" t="s">
        <v>2235</v>
      </c>
      <c r="Q723" s="126"/>
      <c r="R723" s="21" t="s">
        <v>77</v>
      </c>
      <c r="T723" s="58" t="s">
        <v>2157</v>
      </c>
      <c r="V723" s="26" t="s">
        <v>79</v>
      </c>
      <c r="W723" s="60"/>
      <c r="X723" s="26" t="s">
        <v>79</v>
      </c>
      <c r="Y723" s="60"/>
      <c r="Z723" s="26" t="s">
        <v>79</v>
      </c>
      <c r="AA723" s="60"/>
      <c r="AB723" s="26" t="s">
        <v>80</v>
      </c>
      <c r="AC723" s="60"/>
      <c r="AD723" s="106" t="s">
        <v>2236</v>
      </c>
    </row>
    <row r="724" spans="2:30" ht="33.950000000000003">
      <c r="B724" s="21" t="s">
        <v>1130</v>
      </c>
      <c r="C724" s="125"/>
      <c r="D724" s="21" t="s">
        <v>2224</v>
      </c>
      <c r="F724" s="23" t="s">
        <v>254</v>
      </c>
      <c r="H724" s="21" t="s">
        <v>291</v>
      </c>
      <c r="J724" s="21" t="s">
        <v>263</v>
      </c>
      <c r="L724" s="21" t="s">
        <v>737</v>
      </c>
      <c r="N724" s="21" t="s">
        <v>185</v>
      </c>
      <c r="P724" s="21" t="s">
        <v>2237</v>
      </c>
      <c r="Q724" s="126"/>
      <c r="R724" s="21" t="s">
        <v>77</v>
      </c>
      <c r="T724" s="58" t="s">
        <v>2157</v>
      </c>
      <c r="V724" s="26" t="s">
        <v>79</v>
      </c>
      <c r="W724" s="60"/>
      <c r="X724" s="26" t="s">
        <v>79</v>
      </c>
      <c r="Y724" s="60"/>
      <c r="Z724" s="26" t="s">
        <v>79</v>
      </c>
      <c r="AA724" s="60"/>
      <c r="AB724" s="26" t="s">
        <v>80</v>
      </c>
      <c r="AC724" s="60"/>
      <c r="AD724" s="83" t="s">
        <v>2238</v>
      </c>
    </row>
    <row r="725" spans="2:30" ht="51">
      <c r="B725" s="21" t="s">
        <v>1153</v>
      </c>
      <c r="C725" s="125"/>
      <c r="D725" s="21" t="s">
        <v>2224</v>
      </c>
      <c r="F725" s="23" t="s">
        <v>254</v>
      </c>
      <c r="H725" s="21" t="s">
        <v>291</v>
      </c>
      <c r="J725" s="21" t="s">
        <v>263</v>
      </c>
      <c r="L725" s="21" t="s">
        <v>737</v>
      </c>
      <c r="N725" s="21" t="s">
        <v>185</v>
      </c>
      <c r="P725" s="21" t="s">
        <v>2239</v>
      </c>
      <c r="Q725" s="126"/>
      <c r="R725" s="21" t="s">
        <v>77</v>
      </c>
      <c r="T725" s="58" t="s">
        <v>2157</v>
      </c>
      <c r="V725" s="26" t="s">
        <v>79</v>
      </c>
      <c r="W725" s="60"/>
      <c r="X725" s="26" t="s">
        <v>79</v>
      </c>
      <c r="Y725" s="60"/>
      <c r="Z725" s="26" t="s">
        <v>79</v>
      </c>
      <c r="AA725" s="60"/>
      <c r="AB725" s="23" t="s">
        <v>753</v>
      </c>
      <c r="AC725" s="60"/>
      <c r="AD725" s="83" t="s">
        <v>2240</v>
      </c>
    </row>
    <row r="726" spans="2:30" ht="84.95">
      <c r="B726" s="21" t="s">
        <v>1156</v>
      </c>
      <c r="C726" s="125"/>
      <c r="D726" s="21" t="s">
        <v>2224</v>
      </c>
      <c r="F726" s="23" t="s">
        <v>254</v>
      </c>
      <c r="H726" s="21" t="s">
        <v>291</v>
      </c>
      <c r="J726" s="21" t="s">
        <v>263</v>
      </c>
      <c r="L726" s="21" t="s">
        <v>737</v>
      </c>
      <c r="N726" s="21" t="s">
        <v>185</v>
      </c>
      <c r="P726" s="21" t="s">
        <v>1135</v>
      </c>
      <c r="Q726" s="126"/>
      <c r="R726" s="21" t="s">
        <v>77</v>
      </c>
      <c r="T726" s="58" t="s">
        <v>2157</v>
      </c>
      <c r="V726" s="26" t="s">
        <v>79</v>
      </c>
      <c r="W726" s="60"/>
      <c r="X726" s="26" t="s">
        <v>79</v>
      </c>
      <c r="Y726" s="60"/>
      <c r="Z726" s="26" t="s">
        <v>79</v>
      </c>
      <c r="AA726" s="60"/>
      <c r="AB726" s="26" t="s">
        <v>80</v>
      </c>
      <c r="AC726" s="60"/>
      <c r="AD726" s="106" t="s">
        <v>2241</v>
      </c>
    </row>
    <row r="727" spans="2:30" ht="48.95" customHeight="1">
      <c r="B727" s="21" t="s">
        <v>1502</v>
      </c>
      <c r="C727" s="125"/>
      <c r="D727" s="21" t="s">
        <v>2224</v>
      </c>
      <c r="F727" s="23" t="s">
        <v>254</v>
      </c>
      <c r="H727" s="21" t="s">
        <v>291</v>
      </c>
      <c r="J727" s="21" t="s">
        <v>263</v>
      </c>
      <c r="L727" s="21" t="s">
        <v>737</v>
      </c>
      <c r="N727" s="21" t="s">
        <v>185</v>
      </c>
      <c r="P727" s="21" t="s">
        <v>2242</v>
      </c>
      <c r="Q727" s="126"/>
      <c r="R727" s="21" t="s">
        <v>77</v>
      </c>
      <c r="T727" s="58" t="s">
        <v>2157</v>
      </c>
      <c r="V727" s="26" t="s">
        <v>79</v>
      </c>
      <c r="W727" s="60"/>
      <c r="X727" s="26" t="s">
        <v>79</v>
      </c>
      <c r="Y727" s="60"/>
      <c r="Z727" s="26" t="s">
        <v>79</v>
      </c>
      <c r="AA727" s="60"/>
      <c r="AB727" s="26" t="s">
        <v>80</v>
      </c>
      <c r="AC727" s="60"/>
      <c r="AD727" s="106" t="s">
        <v>2243</v>
      </c>
    </row>
    <row r="728" spans="2:30" ht="135.94999999999999">
      <c r="B728" s="21" t="s">
        <v>2154</v>
      </c>
      <c r="D728" s="21" t="s">
        <v>604</v>
      </c>
      <c r="F728" s="23" t="s">
        <v>254</v>
      </c>
      <c r="H728" s="21" t="s">
        <v>262</v>
      </c>
      <c r="J728" s="21" t="s">
        <v>263</v>
      </c>
      <c r="L728" s="21" t="s">
        <v>737</v>
      </c>
      <c r="N728" s="21" t="s">
        <v>103</v>
      </c>
      <c r="P728" s="21" t="s">
        <v>2244</v>
      </c>
      <c r="Q728" s="126"/>
      <c r="R728" s="21" t="s">
        <v>77</v>
      </c>
      <c r="T728" s="58" t="s">
        <v>2157</v>
      </c>
      <c r="V728" s="26" t="s">
        <v>79</v>
      </c>
      <c r="W728" s="60"/>
      <c r="X728" s="26" t="s">
        <v>79</v>
      </c>
      <c r="Y728" s="60"/>
      <c r="Z728" s="26" t="s">
        <v>79</v>
      </c>
      <c r="AA728" s="60"/>
      <c r="AB728" s="26" t="s">
        <v>80</v>
      </c>
      <c r="AD728" s="83" t="s">
        <v>2245</v>
      </c>
    </row>
    <row r="729" spans="2:30" ht="33.950000000000003">
      <c r="B729" s="21" t="s">
        <v>1120</v>
      </c>
      <c r="D729" s="21" t="s">
        <v>604</v>
      </c>
      <c r="F729" s="23" t="s">
        <v>254</v>
      </c>
      <c r="H729" s="21" t="s">
        <v>364</v>
      </c>
      <c r="J729" s="21" t="s">
        <v>263</v>
      </c>
      <c r="L729" s="21" t="s">
        <v>737</v>
      </c>
      <c r="N729" s="21" t="s">
        <v>103</v>
      </c>
      <c r="P729" s="21" t="s">
        <v>2246</v>
      </c>
      <c r="Q729" s="126"/>
      <c r="R729" s="21" t="s">
        <v>77</v>
      </c>
      <c r="T729" s="58" t="s">
        <v>2157</v>
      </c>
      <c r="V729" s="26" t="s">
        <v>79</v>
      </c>
      <c r="W729" s="60"/>
      <c r="X729" s="26" t="s">
        <v>79</v>
      </c>
      <c r="Y729" s="60"/>
      <c r="Z729" s="26" t="s">
        <v>79</v>
      </c>
      <c r="AA729" s="60"/>
      <c r="AB729" s="26" t="s">
        <v>80</v>
      </c>
      <c r="AC729" s="60"/>
      <c r="AD729" s="83" t="s">
        <v>2247</v>
      </c>
    </row>
    <row r="730" spans="2:30" ht="33.950000000000003">
      <c r="B730" s="21" t="s">
        <v>1199</v>
      </c>
      <c r="D730" s="21" t="s">
        <v>604</v>
      </c>
      <c r="F730" s="23" t="s">
        <v>254</v>
      </c>
      <c r="H730" s="21" t="s">
        <v>298</v>
      </c>
      <c r="J730" s="21" t="s">
        <v>263</v>
      </c>
      <c r="L730" s="21" t="s">
        <v>737</v>
      </c>
      <c r="N730" s="21" t="s">
        <v>103</v>
      </c>
      <c r="P730" s="21" t="s">
        <v>2248</v>
      </c>
      <c r="Q730" s="126"/>
      <c r="R730" s="21" t="s">
        <v>77</v>
      </c>
      <c r="T730" s="58" t="s">
        <v>2157</v>
      </c>
      <c r="V730" s="26" t="s">
        <v>79</v>
      </c>
      <c r="W730" s="60"/>
      <c r="X730" s="26" t="s">
        <v>79</v>
      </c>
      <c r="Y730" s="60"/>
      <c r="Z730" s="26" t="s">
        <v>79</v>
      </c>
      <c r="AA730" s="60"/>
      <c r="AB730" s="26" t="s">
        <v>80</v>
      </c>
      <c r="AC730" s="60"/>
      <c r="AD730" s="83" t="s">
        <v>2249</v>
      </c>
    </row>
    <row r="731" spans="2:30" ht="33.950000000000003">
      <c r="B731" s="21" t="s">
        <v>1124</v>
      </c>
      <c r="D731" s="21" t="s">
        <v>604</v>
      </c>
      <c r="F731" s="23" t="s">
        <v>254</v>
      </c>
      <c r="H731" s="21" t="s">
        <v>364</v>
      </c>
      <c r="J731" s="21" t="s">
        <v>263</v>
      </c>
      <c r="L731" s="21" t="s">
        <v>737</v>
      </c>
      <c r="N731" s="21" t="s">
        <v>103</v>
      </c>
      <c r="P731" s="21" t="s">
        <v>2250</v>
      </c>
      <c r="Q731" s="126"/>
      <c r="R731" s="21" t="s">
        <v>77</v>
      </c>
      <c r="T731" s="58" t="s">
        <v>2157</v>
      </c>
      <c r="V731" s="26" t="s">
        <v>79</v>
      </c>
      <c r="W731" s="60"/>
      <c r="X731" s="26" t="s">
        <v>79</v>
      </c>
      <c r="Y731" s="60"/>
      <c r="Z731" s="26" t="s">
        <v>79</v>
      </c>
      <c r="AA731" s="60"/>
      <c r="AB731" s="26" t="s">
        <v>80</v>
      </c>
      <c r="AC731" s="60"/>
      <c r="AD731" s="83" t="s">
        <v>2251</v>
      </c>
    </row>
    <row r="732" spans="2:30" ht="204">
      <c r="B732" s="21" t="s">
        <v>1145</v>
      </c>
      <c r="D732" s="21" t="s">
        <v>604</v>
      </c>
      <c r="F732" s="23" t="s">
        <v>254</v>
      </c>
      <c r="H732" s="21" t="s">
        <v>364</v>
      </c>
      <c r="J732" s="21" t="s">
        <v>263</v>
      </c>
      <c r="L732" s="21" t="s">
        <v>737</v>
      </c>
      <c r="N732" s="21" t="s">
        <v>103</v>
      </c>
      <c r="P732" s="21" t="s">
        <v>2252</v>
      </c>
      <c r="Q732" s="126"/>
      <c r="R732" s="21" t="s">
        <v>77</v>
      </c>
      <c r="T732" s="58" t="s">
        <v>2157</v>
      </c>
      <c r="V732" s="26" t="s">
        <v>79</v>
      </c>
      <c r="W732" s="60"/>
      <c r="X732" s="26" t="s">
        <v>79</v>
      </c>
      <c r="Y732" s="60"/>
      <c r="Z732" s="26" t="s">
        <v>79</v>
      </c>
      <c r="AA732" s="60"/>
      <c r="AB732" s="26" t="s">
        <v>80</v>
      </c>
      <c r="AC732" s="60"/>
      <c r="AD732" s="83" t="s">
        <v>2253</v>
      </c>
    </row>
    <row r="733" spans="2:30" ht="33.950000000000003">
      <c r="B733" s="21" t="s">
        <v>1148</v>
      </c>
      <c r="D733" s="21" t="s">
        <v>604</v>
      </c>
      <c r="F733" s="23" t="s">
        <v>254</v>
      </c>
      <c r="H733" s="21" t="s">
        <v>364</v>
      </c>
      <c r="J733" s="21" t="s">
        <v>263</v>
      </c>
      <c r="L733" s="21" t="s">
        <v>737</v>
      </c>
      <c r="N733" s="21" t="s">
        <v>103</v>
      </c>
      <c r="P733" s="21" t="s">
        <v>2254</v>
      </c>
      <c r="Q733" s="126"/>
      <c r="R733" s="21" t="s">
        <v>77</v>
      </c>
      <c r="T733" s="58" t="s">
        <v>2157</v>
      </c>
      <c r="V733" s="26" t="s">
        <v>79</v>
      </c>
      <c r="W733" s="60"/>
      <c r="X733" s="26" t="s">
        <v>79</v>
      </c>
      <c r="Y733" s="60"/>
      <c r="Z733" s="26" t="s">
        <v>79</v>
      </c>
      <c r="AA733" s="60"/>
      <c r="AB733" s="26" t="s">
        <v>80</v>
      </c>
      <c r="AC733" s="60"/>
      <c r="AD733" s="83" t="s">
        <v>2255</v>
      </c>
    </row>
    <row r="734" spans="2:30" ht="51">
      <c r="B734" s="21" t="s">
        <v>1130</v>
      </c>
      <c r="D734" s="21" t="s">
        <v>604</v>
      </c>
      <c r="F734" s="23" t="s">
        <v>254</v>
      </c>
      <c r="H734" s="21" t="s">
        <v>291</v>
      </c>
      <c r="J734" s="21" t="s">
        <v>263</v>
      </c>
      <c r="L734" s="21" t="s">
        <v>737</v>
      </c>
      <c r="N734" s="21" t="s">
        <v>185</v>
      </c>
      <c r="P734" s="21" t="s">
        <v>2256</v>
      </c>
      <c r="Q734" s="126"/>
      <c r="R734" s="21" t="s">
        <v>77</v>
      </c>
      <c r="T734" s="58" t="s">
        <v>2157</v>
      </c>
      <c r="V734" s="26" t="s">
        <v>79</v>
      </c>
      <c r="W734" s="60"/>
      <c r="X734" s="26" t="s">
        <v>79</v>
      </c>
      <c r="Y734" s="60"/>
      <c r="Z734" s="26" t="s">
        <v>79</v>
      </c>
      <c r="AA734" s="60"/>
      <c r="AB734" s="26" t="s">
        <v>80</v>
      </c>
      <c r="AC734" s="60"/>
      <c r="AD734" s="83" t="s">
        <v>2257</v>
      </c>
    </row>
    <row r="735" spans="2:30" ht="51">
      <c r="B735" s="21" t="s">
        <v>1153</v>
      </c>
      <c r="D735" s="21" t="s">
        <v>604</v>
      </c>
      <c r="F735" s="23" t="s">
        <v>254</v>
      </c>
      <c r="H735" s="21" t="s">
        <v>291</v>
      </c>
      <c r="J735" s="21" t="s">
        <v>263</v>
      </c>
      <c r="L735" s="21" t="s">
        <v>737</v>
      </c>
      <c r="N735" s="21" t="s">
        <v>185</v>
      </c>
      <c r="P735" s="21" t="s">
        <v>2258</v>
      </c>
      <c r="Q735" s="126"/>
      <c r="R735" s="21" t="s">
        <v>77</v>
      </c>
      <c r="T735" s="58" t="s">
        <v>2157</v>
      </c>
      <c r="V735" s="26" t="s">
        <v>79</v>
      </c>
      <c r="W735" s="60"/>
      <c r="X735" s="26" t="s">
        <v>79</v>
      </c>
      <c r="Y735" s="60"/>
      <c r="Z735" s="26" t="s">
        <v>79</v>
      </c>
      <c r="AA735" s="60"/>
      <c r="AB735" s="23" t="s">
        <v>753</v>
      </c>
      <c r="AC735" s="60"/>
      <c r="AD735" s="83" t="s">
        <v>2259</v>
      </c>
    </row>
    <row r="736" spans="2:30" ht="84.95">
      <c r="B736" s="21" t="s">
        <v>1156</v>
      </c>
      <c r="D736" s="21" t="s">
        <v>604</v>
      </c>
      <c r="F736" s="23" t="s">
        <v>254</v>
      </c>
      <c r="H736" s="21" t="s">
        <v>291</v>
      </c>
      <c r="J736" s="21" t="s">
        <v>263</v>
      </c>
      <c r="L736" s="21" t="s">
        <v>737</v>
      </c>
      <c r="N736" s="21" t="s">
        <v>185</v>
      </c>
      <c r="P736" s="21" t="s">
        <v>1135</v>
      </c>
      <c r="Q736" s="126"/>
      <c r="R736" s="21" t="s">
        <v>77</v>
      </c>
      <c r="T736" s="58" t="s">
        <v>2157</v>
      </c>
      <c r="V736" s="26" t="s">
        <v>79</v>
      </c>
      <c r="W736" s="60"/>
      <c r="X736" s="26" t="s">
        <v>79</v>
      </c>
      <c r="Y736" s="60"/>
      <c r="Z736" s="26" t="s">
        <v>79</v>
      </c>
      <c r="AA736" s="60"/>
      <c r="AB736" s="26" t="s">
        <v>80</v>
      </c>
      <c r="AC736" s="60"/>
      <c r="AD736" s="106" t="s">
        <v>2260</v>
      </c>
    </row>
    <row r="737" spans="1:30" ht="119.1">
      <c r="A737" s="21"/>
      <c r="B737" s="21" t="s">
        <v>2154</v>
      </c>
      <c r="D737" s="21" t="s">
        <v>2261</v>
      </c>
      <c r="F737" s="23" t="s">
        <v>254</v>
      </c>
      <c r="H737" s="21" t="s">
        <v>262</v>
      </c>
      <c r="J737" s="21" t="s">
        <v>263</v>
      </c>
      <c r="L737" s="21" t="s">
        <v>737</v>
      </c>
      <c r="N737" s="21" t="s">
        <v>103</v>
      </c>
      <c r="P737" s="21" t="s">
        <v>2262</v>
      </c>
      <c r="R737" s="21" t="s">
        <v>77</v>
      </c>
      <c r="T737" s="58" t="s">
        <v>2157</v>
      </c>
      <c r="V737" s="26" t="s">
        <v>79</v>
      </c>
      <c r="W737" s="60"/>
      <c r="X737" s="26" t="s">
        <v>79</v>
      </c>
      <c r="Y737" s="60"/>
      <c r="Z737" s="26" t="s">
        <v>79</v>
      </c>
      <c r="AA737" s="60"/>
      <c r="AB737" s="26" t="s">
        <v>80</v>
      </c>
      <c r="AD737" s="26" t="s">
        <v>2263</v>
      </c>
    </row>
    <row r="738" spans="1:30" ht="33.950000000000003">
      <c r="A738" s="21"/>
      <c r="B738" s="21" t="s">
        <v>1120</v>
      </c>
      <c r="D738" s="21" t="s">
        <v>2261</v>
      </c>
      <c r="F738" s="23" t="s">
        <v>254</v>
      </c>
      <c r="H738" s="21" t="s">
        <v>364</v>
      </c>
      <c r="J738" s="21" t="s">
        <v>263</v>
      </c>
      <c r="L738" s="21" t="s">
        <v>737</v>
      </c>
      <c r="N738" s="21" t="s">
        <v>103</v>
      </c>
      <c r="P738" s="21" t="s">
        <v>2264</v>
      </c>
      <c r="R738" s="21" t="s">
        <v>77</v>
      </c>
      <c r="T738" s="58" t="s">
        <v>2157</v>
      </c>
      <c r="V738" s="26" t="s">
        <v>79</v>
      </c>
      <c r="W738" s="60"/>
      <c r="X738" s="26" t="s">
        <v>79</v>
      </c>
      <c r="Y738" s="60"/>
      <c r="Z738" s="26" t="s">
        <v>79</v>
      </c>
      <c r="AA738" s="60"/>
      <c r="AB738" s="26" t="s">
        <v>80</v>
      </c>
      <c r="AD738" s="26" t="s">
        <v>2265</v>
      </c>
    </row>
    <row r="739" spans="1:30" ht="17.100000000000001">
      <c r="A739" s="21"/>
      <c r="B739" s="21" t="s">
        <v>1124</v>
      </c>
      <c r="D739" s="21" t="s">
        <v>2261</v>
      </c>
      <c r="F739" s="23" t="s">
        <v>254</v>
      </c>
      <c r="H739" s="21" t="s">
        <v>364</v>
      </c>
      <c r="J739" s="21" t="s">
        <v>263</v>
      </c>
      <c r="L739" s="21" t="s">
        <v>737</v>
      </c>
      <c r="N739" s="21" t="s">
        <v>103</v>
      </c>
      <c r="P739" s="21" t="s">
        <v>2266</v>
      </c>
      <c r="R739" s="21" t="s">
        <v>77</v>
      </c>
      <c r="T739" s="58" t="s">
        <v>2157</v>
      </c>
      <c r="V739" s="26" t="s">
        <v>79</v>
      </c>
      <c r="W739" s="60"/>
      <c r="X739" s="26" t="s">
        <v>79</v>
      </c>
      <c r="Y739" s="60"/>
      <c r="Z739" s="26" t="s">
        <v>79</v>
      </c>
      <c r="AA739" s="60"/>
      <c r="AB739" s="26" t="s">
        <v>80</v>
      </c>
      <c r="AD739" s="26" t="s">
        <v>2267</v>
      </c>
    </row>
    <row r="740" spans="1:30" ht="204">
      <c r="A740" s="21"/>
      <c r="B740" s="21" t="s">
        <v>1145</v>
      </c>
      <c r="D740" s="21" t="s">
        <v>2261</v>
      </c>
      <c r="F740" s="23" t="s">
        <v>254</v>
      </c>
      <c r="H740" s="21" t="s">
        <v>364</v>
      </c>
      <c r="J740" s="21" t="s">
        <v>263</v>
      </c>
      <c r="L740" s="21" t="s">
        <v>737</v>
      </c>
      <c r="N740" s="21" t="s">
        <v>103</v>
      </c>
      <c r="P740" s="21" t="s">
        <v>2268</v>
      </c>
      <c r="R740" s="21" t="s">
        <v>77</v>
      </c>
      <c r="T740" s="58" t="s">
        <v>2157</v>
      </c>
      <c r="V740" s="26" t="s">
        <v>79</v>
      </c>
      <c r="W740" s="60"/>
      <c r="X740" s="26" t="s">
        <v>79</v>
      </c>
      <c r="Y740" s="60"/>
      <c r="Z740" s="26" t="s">
        <v>79</v>
      </c>
      <c r="AA740" s="60"/>
      <c r="AB740" s="26" t="s">
        <v>80</v>
      </c>
      <c r="AD740" s="23" t="s">
        <v>2269</v>
      </c>
    </row>
    <row r="741" spans="1:30" ht="33.950000000000003">
      <c r="A741" s="21"/>
      <c r="B741" s="21" t="s">
        <v>1148</v>
      </c>
      <c r="D741" s="21" t="s">
        <v>2261</v>
      </c>
      <c r="F741" s="23" t="s">
        <v>254</v>
      </c>
      <c r="H741" s="21" t="s">
        <v>364</v>
      </c>
      <c r="J741" s="21" t="s">
        <v>263</v>
      </c>
      <c r="L741" s="21" t="s">
        <v>737</v>
      </c>
      <c r="N741" s="21" t="s">
        <v>103</v>
      </c>
      <c r="P741" s="21" t="s">
        <v>2270</v>
      </c>
      <c r="R741" s="21" t="s">
        <v>77</v>
      </c>
      <c r="T741" s="58" t="s">
        <v>2157</v>
      </c>
      <c r="V741" s="26" t="s">
        <v>79</v>
      </c>
      <c r="W741" s="60"/>
      <c r="X741" s="26" t="s">
        <v>79</v>
      </c>
      <c r="Y741" s="60"/>
      <c r="Z741" s="26" t="s">
        <v>79</v>
      </c>
      <c r="AA741" s="60"/>
      <c r="AB741" s="26" t="s">
        <v>80</v>
      </c>
      <c r="AD741" s="26" t="s">
        <v>2271</v>
      </c>
    </row>
    <row r="742" spans="1:30" ht="33.950000000000003">
      <c r="A742" s="21"/>
      <c r="B742" s="21" t="s">
        <v>1130</v>
      </c>
      <c r="D742" s="21" t="s">
        <v>2261</v>
      </c>
      <c r="F742" s="23" t="s">
        <v>254</v>
      </c>
      <c r="H742" s="21" t="s">
        <v>291</v>
      </c>
      <c r="J742" s="21" t="s">
        <v>263</v>
      </c>
      <c r="L742" s="21" t="s">
        <v>737</v>
      </c>
      <c r="N742" s="21" t="s">
        <v>185</v>
      </c>
      <c r="P742" s="21" t="s">
        <v>2272</v>
      </c>
      <c r="R742" s="21" t="s">
        <v>77</v>
      </c>
      <c r="T742" s="58" t="s">
        <v>2157</v>
      </c>
      <c r="V742" s="26" t="s">
        <v>79</v>
      </c>
      <c r="W742" s="60"/>
      <c r="X742" s="26" t="s">
        <v>79</v>
      </c>
      <c r="Y742" s="60"/>
      <c r="Z742" s="26" t="s">
        <v>79</v>
      </c>
      <c r="AA742" s="60"/>
      <c r="AB742" s="26" t="s">
        <v>80</v>
      </c>
      <c r="AD742" s="26" t="s">
        <v>2273</v>
      </c>
    </row>
    <row r="743" spans="1:30" ht="51">
      <c r="A743" s="21"/>
      <c r="B743" s="21" t="s">
        <v>1153</v>
      </c>
      <c r="D743" s="21" t="s">
        <v>2261</v>
      </c>
      <c r="F743" s="23" t="s">
        <v>254</v>
      </c>
      <c r="H743" s="21" t="s">
        <v>291</v>
      </c>
      <c r="J743" s="21" t="s">
        <v>263</v>
      </c>
      <c r="L743" s="21" t="s">
        <v>737</v>
      </c>
      <c r="N743" s="21" t="s">
        <v>185</v>
      </c>
      <c r="P743" s="21" t="s">
        <v>2274</v>
      </c>
      <c r="R743" s="21" t="s">
        <v>77</v>
      </c>
      <c r="T743" s="58" t="s">
        <v>2157</v>
      </c>
      <c r="V743" s="26" t="s">
        <v>79</v>
      </c>
      <c r="W743" s="60"/>
      <c r="X743" s="26" t="s">
        <v>79</v>
      </c>
      <c r="Y743" s="60"/>
      <c r="Z743" s="26" t="s">
        <v>79</v>
      </c>
      <c r="AA743" s="60"/>
      <c r="AB743" s="23" t="s">
        <v>753</v>
      </c>
      <c r="AD743" s="26" t="s">
        <v>2275</v>
      </c>
    </row>
    <row r="744" spans="1:30" ht="84.95">
      <c r="A744" s="21"/>
      <c r="B744" s="21" t="s">
        <v>1156</v>
      </c>
      <c r="D744" s="21" t="s">
        <v>2261</v>
      </c>
      <c r="F744" s="23" t="s">
        <v>254</v>
      </c>
      <c r="H744" s="21" t="s">
        <v>291</v>
      </c>
      <c r="J744" s="21" t="s">
        <v>263</v>
      </c>
      <c r="L744" s="21" t="s">
        <v>737</v>
      </c>
      <c r="N744" s="21" t="s">
        <v>185</v>
      </c>
      <c r="P744" s="21" t="s">
        <v>1135</v>
      </c>
      <c r="R744" s="21" t="s">
        <v>77</v>
      </c>
      <c r="T744" s="58" t="s">
        <v>2157</v>
      </c>
      <c r="V744" s="26" t="s">
        <v>79</v>
      </c>
      <c r="W744" s="60"/>
      <c r="X744" s="26" t="s">
        <v>79</v>
      </c>
      <c r="Y744" s="60"/>
      <c r="Z744" s="26" t="s">
        <v>79</v>
      </c>
      <c r="AA744" s="60"/>
      <c r="AB744" s="26" t="s">
        <v>80</v>
      </c>
      <c r="AD744" s="23" t="s">
        <v>2276</v>
      </c>
    </row>
    <row r="745" spans="1:30" ht="119.1">
      <c r="A745" s="21"/>
      <c r="B745" s="21" t="s">
        <v>2154</v>
      </c>
      <c r="D745" s="21" t="s">
        <v>2277</v>
      </c>
      <c r="F745" s="23" t="s">
        <v>254</v>
      </c>
      <c r="H745" s="21" t="s">
        <v>262</v>
      </c>
      <c r="J745" s="21" t="s">
        <v>263</v>
      </c>
      <c r="L745" s="21" t="s">
        <v>737</v>
      </c>
      <c r="N745" s="21" t="s">
        <v>185</v>
      </c>
      <c r="P745" s="21" t="s">
        <v>2278</v>
      </c>
      <c r="Q745" s="126"/>
      <c r="R745" s="21" t="s">
        <v>77</v>
      </c>
      <c r="T745" s="58" t="s">
        <v>2157</v>
      </c>
      <c r="V745" s="26" t="s">
        <v>79</v>
      </c>
      <c r="W745" s="60"/>
      <c r="X745" s="26" t="s">
        <v>79</v>
      </c>
      <c r="Y745" s="60"/>
      <c r="Z745" s="26" t="s">
        <v>79</v>
      </c>
      <c r="AA745" s="60"/>
      <c r="AB745" s="26" t="s">
        <v>80</v>
      </c>
      <c r="AD745" s="83" t="s">
        <v>2279</v>
      </c>
    </row>
    <row r="746" spans="1:30" ht="33.950000000000003">
      <c r="A746" s="21"/>
      <c r="B746" s="21" t="s">
        <v>1120</v>
      </c>
      <c r="D746" s="21" t="s">
        <v>2277</v>
      </c>
      <c r="F746" s="23" t="s">
        <v>254</v>
      </c>
      <c r="H746" s="21" t="s">
        <v>364</v>
      </c>
      <c r="J746" s="21" t="s">
        <v>263</v>
      </c>
      <c r="L746" s="21" t="s">
        <v>737</v>
      </c>
      <c r="N746" s="21" t="s">
        <v>103</v>
      </c>
      <c r="P746" s="21" t="s">
        <v>2280</v>
      </c>
      <c r="Q746" s="126"/>
      <c r="R746" s="21" t="s">
        <v>77</v>
      </c>
      <c r="T746" s="58" t="s">
        <v>2157</v>
      </c>
      <c r="V746" s="26" t="s">
        <v>79</v>
      </c>
      <c r="W746" s="60"/>
      <c r="X746" s="26" t="s">
        <v>79</v>
      </c>
      <c r="Y746" s="60"/>
      <c r="Z746" s="26" t="s">
        <v>79</v>
      </c>
      <c r="AA746" s="60"/>
      <c r="AB746" s="26" t="s">
        <v>80</v>
      </c>
      <c r="AD746" s="106" t="s">
        <v>2281</v>
      </c>
    </row>
    <row r="747" spans="1:30" ht="33.950000000000003">
      <c r="A747" s="21"/>
      <c r="B747" s="21" t="s">
        <v>1124</v>
      </c>
      <c r="D747" s="21" t="s">
        <v>2277</v>
      </c>
      <c r="F747" s="23" t="s">
        <v>254</v>
      </c>
      <c r="H747" s="21" t="s">
        <v>364</v>
      </c>
      <c r="J747" s="21" t="s">
        <v>263</v>
      </c>
      <c r="L747" s="21" t="s">
        <v>737</v>
      </c>
      <c r="N747" s="21" t="s">
        <v>103</v>
      </c>
      <c r="P747" s="21" t="s">
        <v>1964</v>
      </c>
      <c r="Q747" s="126"/>
      <c r="R747" s="21" t="s">
        <v>77</v>
      </c>
      <c r="T747" s="58" t="s">
        <v>2157</v>
      </c>
      <c r="V747" s="26" t="s">
        <v>79</v>
      </c>
      <c r="W747" s="60"/>
      <c r="X747" s="26" t="s">
        <v>79</v>
      </c>
      <c r="Y747" s="60"/>
      <c r="Z747" s="26" t="s">
        <v>79</v>
      </c>
      <c r="AA747" s="60"/>
      <c r="AB747" s="26" t="s">
        <v>80</v>
      </c>
      <c r="AD747" s="83" t="s">
        <v>2282</v>
      </c>
    </row>
    <row r="748" spans="1:30" ht="204">
      <c r="A748" s="21"/>
      <c r="B748" s="21" t="s">
        <v>1145</v>
      </c>
      <c r="D748" s="21" t="s">
        <v>2277</v>
      </c>
      <c r="F748" s="23" t="s">
        <v>254</v>
      </c>
      <c r="H748" s="21" t="s">
        <v>364</v>
      </c>
      <c r="J748" s="21" t="s">
        <v>263</v>
      </c>
      <c r="L748" s="21" t="s">
        <v>737</v>
      </c>
      <c r="N748" s="21" t="s">
        <v>103</v>
      </c>
      <c r="P748" s="21" t="s">
        <v>2283</v>
      </c>
      <c r="Q748" s="126"/>
      <c r="R748" s="21" t="s">
        <v>77</v>
      </c>
      <c r="T748" s="127" t="s">
        <v>2157</v>
      </c>
      <c r="V748" s="26" t="s">
        <v>79</v>
      </c>
      <c r="W748" s="60"/>
      <c r="X748" s="26" t="s">
        <v>79</v>
      </c>
      <c r="Y748" s="60"/>
      <c r="Z748" s="26" t="s">
        <v>79</v>
      </c>
      <c r="AA748" s="60"/>
      <c r="AB748" s="26" t="s">
        <v>80</v>
      </c>
      <c r="AD748" s="106" t="s">
        <v>2284</v>
      </c>
    </row>
    <row r="749" spans="1:30" ht="51">
      <c r="A749" s="21"/>
      <c r="B749" s="21" t="s">
        <v>1148</v>
      </c>
      <c r="D749" s="21" t="s">
        <v>2277</v>
      </c>
      <c r="F749" s="23" t="s">
        <v>254</v>
      </c>
      <c r="H749" s="21" t="s">
        <v>364</v>
      </c>
      <c r="J749" s="21" t="s">
        <v>263</v>
      </c>
      <c r="L749" s="21" t="s">
        <v>737</v>
      </c>
      <c r="N749" s="21" t="s">
        <v>103</v>
      </c>
      <c r="P749" s="21" t="s">
        <v>2285</v>
      </c>
      <c r="Q749" s="126"/>
      <c r="R749" s="21" t="s">
        <v>77</v>
      </c>
      <c r="T749" s="58" t="s">
        <v>2157</v>
      </c>
      <c r="V749" s="26" t="s">
        <v>79</v>
      </c>
      <c r="W749" s="60"/>
      <c r="X749" s="26" t="s">
        <v>79</v>
      </c>
      <c r="Y749" s="60"/>
      <c r="Z749" s="26" t="s">
        <v>79</v>
      </c>
      <c r="AA749" s="60"/>
      <c r="AB749" s="26" t="s">
        <v>80</v>
      </c>
      <c r="AD749" s="106" t="s">
        <v>2286</v>
      </c>
    </row>
    <row r="750" spans="1:30" ht="68.099999999999994">
      <c r="A750" s="21"/>
      <c r="B750" s="21" t="s">
        <v>1130</v>
      </c>
      <c r="D750" s="21" t="s">
        <v>2277</v>
      </c>
      <c r="F750" s="23" t="s">
        <v>254</v>
      </c>
      <c r="H750" s="21" t="s">
        <v>291</v>
      </c>
      <c r="J750" s="21" t="s">
        <v>263</v>
      </c>
      <c r="L750" s="21" t="s">
        <v>737</v>
      </c>
      <c r="N750" s="21" t="s">
        <v>103</v>
      </c>
      <c r="P750" s="21" t="s">
        <v>2287</v>
      </c>
      <c r="Q750" s="126"/>
      <c r="R750" s="21" t="s">
        <v>77</v>
      </c>
      <c r="T750" s="58" t="s">
        <v>2157</v>
      </c>
      <c r="V750" s="26" t="s">
        <v>79</v>
      </c>
      <c r="W750" s="60"/>
      <c r="X750" s="26" t="s">
        <v>79</v>
      </c>
      <c r="Y750" s="60"/>
      <c r="Z750" s="26" t="s">
        <v>79</v>
      </c>
      <c r="AA750" s="60"/>
      <c r="AB750" s="26" t="s">
        <v>80</v>
      </c>
      <c r="AD750" s="106" t="s">
        <v>2288</v>
      </c>
    </row>
    <row r="751" spans="1:30" ht="51">
      <c r="A751" s="21"/>
      <c r="B751" s="21" t="s">
        <v>1153</v>
      </c>
      <c r="D751" s="21" t="s">
        <v>2277</v>
      </c>
      <c r="F751" s="23" t="s">
        <v>254</v>
      </c>
      <c r="H751" s="21" t="s">
        <v>291</v>
      </c>
      <c r="J751" s="21" t="s">
        <v>263</v>
      </c>
      <c r="L751" s="21" t="s">
        <v>737</v>
      </c>
      <c r="N751" s="21" t="s">
        <v>185</v>
      </c>
      <c r="P751" s="21" t="s">
        <v>2289</v>
      </c>
      <c r="Q751" s="126"/>
      <c r="R751" s="21" t="s">
        <v>77</v>
      </c>
      <c r="T751" s="58" t="s">
        <v>2157</v>
      </c>
      <c r="V751" s="26" t="s">
        <v>79</v>
      </c>
      <c r="W751" s="60"/>
      <c r="X751" s="26" t="s">
        <v>79</v>
      </c>
      <c r="Y751" s="60"/>
      <c r="Z751" s="26" t="s">
        <v>79</v>
      </c>
      <c r="AA751" s="60"/>
      <c r="AB751" s="23" t="s">
        <v>753</v>
      </c>
      <c r="AD751" s="83" t="s">
        <v>2290</v>
      </c>
    </row>
    <row r="752" spans="1:30" ht="84.95">
      <c r="A752" s="21"/>
      <c r="B752" s="21" t="s">
        <v>1156</v>
      </c>
      <c r="D752" s="21" t="s">
        <v>2277</v>
      </c>
      <c r="F752" s="23" t="s">
        <v>254</v>
      </c>
      <c r="H752" s="21" t="s">
        <v>291</v>
      </c>
      <c r="J752" s="21" t="s">
        <v>263</v>
      </c>
      <c r="L752" s="21" t="s">
        <v>737</v>
      </c>
      <c r="N752" s="21" t="s">
        <v>185</v>
      </c>
      <c r="P752" s="21" t="s">
        <v>1135</v>
      </c>
      <c r="Q752" s="126"/>
      <c r="R752" s="21" t="s">
        <v>77</v>
      </c>
      <c r="T752" s="58" t="s">
        <v>2157</v>
      </c>
      <c r="V752" s="26" t="s">
        <v>79</v>
      </c>
      <c r="W752" s="60"/>
      <c r="X752" s="26" t="s">
        <v>79</v>
      </c>
      <c r="Y752" s="60"/>
      <c r="Z752" s="26" t="s">
        <v>79</v>
      </c>
      <c r="AA752" s="60"/>
      <c r="AB752" s="26" t="s">
        <v>80</v>
      </c>
      <c r="AD752" s="106" t="s">
        <v>2291</v>
      </c>
    </row>
    <row r="753" spans="1:30" ht="156" customHeight="1">
      <c r="B753" s="21" t="s">
        <v>2292</v>
      </c>
      <c r="C753" s="20"/>
      <c r="D753" s="21" t="s">
        <v>362</v>
      </c>
      <c r="E753" s="20"/>
      <c r="F753" s="23" t="s">
        <v>363</v>
      </c>
      <c r="H753" s="21" t="s">
        <v>2293</v>
      </c>
      <c r="J753" s="21" t="s">
        <v>263</v>
      </c>
      <c r="L753" s="21" t="s">
        <v>737</v>
      </c>
      <c r="N753" s="21" t="s">
        <v>96</v>
      </c>
      <c r="P753" s="21" t="s">
        <v>2294</v>
      </c>
      <c r="R753" s="21" t="s">
        <v>77</v>
      </c>
      <c r="S753" s="20"/>
      <c r="T753" s="58" t="s">
        <v>2295</v>
      </c>
      <c r="V753" s="26" t="s">
        <v>79</v>
      </c>
      <c r="W753" s="60"/>
      <c r="X753" s="26" t="s">
        <v>79</v>
      </c>
      <c r="Y753" s="60"/>
      <c r="Z753" s="26" t="s">
        <v>79</v>
      </c>
      <c r="AA753" s="60"/>
      <c r="AB753" s="23" t="s">
        <v>80</v>
      </c>
      <c r="AD753" s="23" t="s">
        <v>2296</v>
      </c>
    </row>
    <row r="754" spans="1:30" ht="152.1" customHeight="1">
      <c r="B754" s="95" t="s">
        <v>2297</v>
      </c>
      <c r="C754" s="126"/>
      <c r="D754" s="21" t="s">
        <v>115</v>
      </c>
      <c r="E754" s="126"/>
      <c r="F754" s="23" t="s">
        <v>115</v>
      </c>
      <c r="G754" s="126"/>
      <c r="H754" s="95" t="s">
        <v>2298</v>
      </c>
      <c r="I754" s="126"/>
      <c r="J754" s="95" t="s">
        <v>263</v>
      </c>
      <c r="K754" s="126"/>
      <c r="L754" s="95" t="s">
        <v>737</v>
      </c>
      <c r="M754" s="126"/>
      <c r="N754" s="95" t="s">
        <v>96</v>
      </c>
      <c r="O754" s="126"/>
      <c r="P754" s="95" t="s">
        <v>2299</v>
      </c>
      <c r="Q754" s="126"/>
      <c r="R754" s="21" t="s">
        <v>77</v>
      </c>
      <c r="S754" s="126"/>
      <c r="T754" s="58" t="s">
        <v>2300</v>
      </c>
      <c r="U754" s="166"/>
      <c r="V754" s="26" t="s">
        <v>79</v>
      </c>
      <c r="W754" s="60"/>
      <c r="X754" s="26" t="s">
        <v>79</v>
      </c>
      <c r="Y754" s="60"/>
      <c r="Z754" s="26" t="s">
        <v>79</v>
      </c>
      <c r="AA754" s="60"/>
      <c r="AB754" s="26" t="s">
        <v>80</v>
      </c>
      <c r="AD754" s="106" t="s">
        <v>2301</v>
      </c>
    </row>
    <row r="755" spans="1:30" ht="288" customHeight="1">
      <c r="B755" s="169" t="s">
        <v>2302</v>
      </c>
      <c r="C755" s="20"/>
      <c r="D755" s="21" t="s">
        <v>2303</v>
      </c>
      <c r="E755" s="20"/>
      <c r="F755" s="23" t="s">
        <v>2303</v>
      </c>
      <c r="H755" s="21" t="s">
        <v>291</v>
      </c>
      <c r="J755" s="21" t="s">
        <v>263</v>
      </c>
      <c r="L755" s="21" t="s">
        <v>737</v>
      </c>
      <c r="N755" s="21" t="s">
        <v>96</v>
      </c>
      <c r="P755" s="21" t="s">
        <v>2304</v>
      </c>
      <c r="R755" s="21" t="s">
        <v>77</v>
      </c>
      <c r="S755" s="20"/>
      <c r="T755" s="76" t="s">
        <v>2305</v>
      </c>
      <c r="V755" s="26" t="s">
        <v>79</v>
      </c>
      <c r="W755" s="60"/>
      <c r="X755" s="26" t="s">
        <v>79</v>
      </c>
      <c r="Y755" s="60"/>
      <c r="Z755" s="26" t="s">
        <v>79</v>
      </c>
      <c r="AA755" s="60"/>
      <c r="AB755" s="26" t="s">
        <v>80</v>
      </c>
      <c r="AD755" s="23" t="s">
        <v>2306</v>
      </c>
    </row>
    <row r="756" spans="1:30" ht="408.95" customHeight="1">
      <c r="B756" s="21" t="s">
        <v>2307</v>
      </c>
      <c r="C756" s="20"/>
      <c r="D756" s="21" t="s">
        <v>2303</v>
      </c>
      <c r="E756" s="20"/>
      <c r="F756" s="23" t="s">
        <v>2303</v>
      </c>
      <c r="H756" s="21" t="s">
        <v>2308</v>
      </c>
      <c r="J756" s="21" t="s">
        <v>263</v>
      </c>
      <c r="L756" s="21" t="s">
        <v>737</v>
      </c>
      <c r="N756" s="21" t="s">
        <v>202</v>
      </c>
      <c r="P756" s="21" t="s">
        <v>2309</v>
      </c>
      <c r="R756" s="21" t="s">
        <v>77</v>
      </c>
      <c r="S756" s="20"/>
      <c r="T756" s="76" t="s">
        <v>2310</v>
      </c>
      <c r="V756" s="26" t="s">
        <v>79</v>
      </c>
      <c r="W756" s="60"/>
      <c r="X756" s="26" t="s">
        <v>79</v>
      </c>
      <c r="Y756" s="60"/>
      <c r="Z756" s="26" t="s">
        <v>79</v>
      </c>
      <c r="AA756" s="60"/>
      <c r="AB756" s="26" t="s">
        <v>80</v>
      </c>
      <c r="AD756" s="23" t="s">
        <v>2306</v>
      </c>
    </row>
    <row r="757" spans="1:30" ht="300" customHeight="1">
      <c r="B757" s="169" t="s">
        <v>2311</v>
      </c>
      <c r="C757" s="20"/>
      <c r="D757" s="21" t="s">
        <v>2303</v>
      </c>
      <c r="E757" s="20"/>
      <c r="F757" s="23" t="s">
        <v>2303</v>
      </c>
      <c r="H757" s="21" t="s">
        <v>291</v>
      </c>
      <c r="J757" s="21" t="s">
        <v>263</v>
      </c>
      <c r="L757" s="21" t="s">
        <v>737</v>
      </c>
      <c r="N757" s="21" t="s">
        <v>96</v>
      </c>
      <c r="P757" s="21" t="s">
        <v>2312</v>
      </c>
      <c r="R757" s="21" t="s">
        <v>77</v>
      </c>
      <c r="S757" s="20"/>
      <c r="T757" s="76" t="s">
        <v>2313</v>
      </c>
      <c r="V757" s="26" t="s">
        <v>79</v>
      </c>
      <c r="W757" s="60"/>
      <c r="X757" s="26" t="s">
        <v>79</v>
      </c>
      <c r="Y757" s="60"/>
      <c r="Z757" s="26" t="s">
        <v>79</v>
      </c>
      <c r="AA757" s="60"/>
      <c r="AB757" s="26" t="s">
        <v>80</v>
      </c>
      <c r="AD757" s="23" t="s">
        <v>2306</v>
      </c>
    </row>
    <row r="758" spans="1:30" ht="272.10000000000002">
      <c r="B758" s="21" t="s">
        <v>2314</v>
      </c>
      <c r="C758" s="20"/>
      <c r="D758" s="21" t="s">
        <v>71</v>
      </c>
      <c r="E758" s="20"/>
      <c r="F758" s="23" t="s">
        <v>71</v>
      </c>
      <c r="H758" s="21" t="s">
        <v>177</v>
      </c>
      <c r="J758" s="21" t="s">
        <v>263</v>
      </c>
      <c r="L758" s="21" t="s">
        <v>737</v>
      </c>
      <c r="N758" s="21" t="s">
        <v>178</v>
      </c>
      <c r="P758" s="21" t="s">
        <v>2315</v>
      </c>
      <c r="R758" s="21" t="s">
        <v>77</v>
      </c>
      <c r="S758" s="20"/>
      <c r="T758" s="76" t="s">
        <v>2316</v>
      </c>
      <c r="V758" s="26" t="s">
        <v>79</v>
      </c>
      <c r="W758" s="60"/>
      <c r="X758" s="26" t="s">
        <v>79</v>
      </c>
      <c r="Y758" s="60"/>
      <c r="Z758" s="26" t="s">
        <v>79</v>
      </c>
      <c r="AA758" s="60"/>
      <c r="AB758" s="23" t="s">
        <v>2317</v>
      </c>
      <c r="AD758" s="23" t="s">
        <v>2318</v>
      </c>
    </row>
    <row r="759" spans="1:30" ht="69.95" customHeight="1">
      <c r="A759" s="21"/>
      <c r="B759" s="21" t="s">
        <v>2319</v>
      </c>
      <c r="C759" s="20"/>
      <c r="D759" s="21" t="s">
        <v>2320</v>
      </c>
      <c r="E759" s="20"/>
      <c r="F759" s="23" t="s">
        <v>123</v>
      </c>
      <c r="H759" s="21" t="s">
        <v>291</v>
      </c>
      <c r="J759" s="21" t="s">
        <v>263</v>
      </c>
      <c r="L759" s="21" t="s">
        <v>737</v>
      </c>
      <c r="N759" s="21" t="s">
        <v>178</v>
      </c>
      <c r="P759" s="21" t="s">
        <v>2321</v>
      </c>
      <c r="R759" s="21" t="s">
        <v>77</v>
      </c>
      <c r="S759" s="20"/>
      <c r="T759" s="58" t="s">
        <v>2322</v>
      </c>
      <c r="V759" s="26" t="s">
        <v>79</v>
      </c>
      <c r="W759" s="60"/>
      <c r="X759" s="26" t="s">
        <v>79</v>
      </c>
      <c r="Y759" s="60"/>
      <c r="Z759" s="26" t="s">
        <v>79</v>
      </c>
      <c r="AA759" s="60"/>
      <c r="AB759" s="26" t="s">
        <v>80</v>
      </c>
      <c r="AD759" s="23" t="s">
        <v>2323</v>
      </c>
    </row>
    <row r="760" spans="1:30" ht="68.099999999999994">
      <c r="B760" s="21" t="s">
        <v>2324</v>
      </c>
      <c r="C760" s="20"/>
      <c r="D760" s="21" t="s">
        <v>115</v>
      </c>
      <c r="E760" s="20"/>
      <c r="F760" s="23" t="s">
        <v>115</v>
      </c>
      <c r="H760" s="21" t="s">
        <v>2325</v>
      </c>
      <c r="J760" s="21" t="s">
        <v>263</v>
      </c>
      <c r="L760" s="21" t="s">
        <v>737</v>
      </c>
      <c r="N760" s="21" t="s">
        <v>96</v>
      </c>
      <c r="P760" s="21" t="s">
        <v>2326</v>
      </c>
      <c r="R760" s="21" t="s">
        <v>77</v>
      </c>
      <c r="S760" s="20"/>
      <c r="T760" s="58" t="s">
        <v>2327</v>
      </c>
      <c r="V760" s="26" t="s">
        <v>79</v>
      </c>
      <c r="W760" s="60"/>
      <c r="X760" s="26" t="s">
        <v>79</v>
      </c>
      <c r="Y760" s="60"/>
      <c r="Z760" s="26" t="s">
        <v>79</v>
      </c>
      <c r="AA760" s="60"/>
      <c r="AB760" s="23" t="s">
        <v>2328</v>
      </c>
      <c r="AD760" s="23" t="s">
        <v>2329</v>
      </c>
    </row>
    <row r="761" spans="1:30" ht="63" customHeight="1">
      <c r="A761" s="21"/>
      <c r="B761" s="21" t="s">
        <v>2330</v>
      </c>
      <c r="C761" s="20"/>
      <c r="D761" s="21" t="s">
        <v>115</v>
      </c>
      <c r="E761" s="20"/>
      <c r="F761" s="23" t="s">
        <v>115</v>
      </c>
      <c r="H761" s="21" t="s">
        <v>2331</v>
      </c>
      <c r="J761" s="21" t="s">
        <v>263</v>
      </c>
      <c r="L761" s="21" t="s">
        <v>737</v>
      </c>
      <c r="N761" s="21" t="s">
        <v>103</v>
      </c>
      <c r="P761" s="21" t="s">
        <v>2332</v>
      </c>
      <c r="R761" s="21" t="s">
        <v>77</v>
      </c>
      <c r="S761" s="20"/>
      <c r="T761" s="58" t="s">
        <v>2333</v>
      </c>
      <c r="V761" s="26" t="s">
        <v>79</v>
      </c>
      <c r="W761" s="60"/>
      <c r="X761" s="26" t="s">
        <v>79</v>
      </c>
      <c r="Y761" s="60"/>
      <c r="Z761" s="26" t="s">
        <v>79</v>
      </c>
      <c r="AA761" s="60"/>
      <c r="AB761" s="23" t="s">
        <v>2334</v>
      </c>
      <c r="AD761" s="23" t="s">
        <v>2335</v>
      </c>
    </row>
    <row r="762" spans="1:30" ht="180.95" customHeight="1">
      <c r="B762" s="21" t="s">
        <v>2336</v>
      </c>
      <c r="C762" s="20"/>
      <c r="D762" s="21" t="s">
        <v>2337</v>
      </c>
      <c r="E762" s="20"/>
      <c r="F762" s="23" t="s">
        <v>254</v>
      </c>
      <c r="H762" s="21" t="s">
        <v>291</v>
      </c>
      <c r="J762" s="21" t="s">
        <v>263</v>
      </c>
      <c r="L762" s="21" t="s">
        <v>737</v>
      </c>
      <c r="N762" s="21" t="s">
        <v>178</v>
      </c>
      <c r="P762" s="21" t="s">
        <v>2338</v>
      </c>
      <c r="R762" s="21" t="s">
        <v>77</v>
      </c>
      <c r="S762" s="20"/>
      <c r="T762" s="58" t="s">
        <v>2339</v>
      </c>
      <c r="V762" s="26" t="s">
        <v>79</v>
      </c>
      <c r="W762" s="60"/>
      <c r="X762" s="26" t="s">
        <v>79</v>
      </c>
      <c r="Y762" s="60"/>
      <c r="Z762" s="26" t="s">
        <v>79</v>
      </c>
      <c r="AA762" s="60"/>
      <c r="AB762" s="26" t="s">
        <v>80</v>
      </c>
      <c r="AC762" s="60"/>
      <c r="AD762" s="23" t="s">
        <v>2340</v>
      </c>
    </row>
    <row r="763" spans="1:30" ht="68.099999999999994">
      <c r="A763" s="21"/>
      <c r="B763" s="21" t="s">
        <v>2341</v>
      </c>
      <c r="C763" s="20"/>
      <c r="D763" s="21" t="s">
        <v>115</v>
      </c>
      <c r="E763" s="20"/>
      <c r="F763" s="23" t="s">
        <v>115</v>
      </c>
      <c r="H763" s="21" t="s">
        <v>124</v>
      </c>
      <c r="J763" s="21" t="s">
        <v>263</v>
      </c>
      <c r="L763" s="21" t="s">
        <v>737</v>
      </c>
      <c r="N763" s="21" t="s">
        <v>103</v>
      </c>
      <c r="P763" s="21" t="s">
        <v>2342</v>
      </c>
      <c r="R763" s="21" t="s">
        <v>77</v>
      </c>
      <c r="S763" s="20"/>
      <c r="T763" s="58" t="s">
        <v>2343</v>
      </c>
      <c r="V763" s="26" t="s">
        <v>79</v>
      </c>
      <c r="W763" s="60"/>
      <c r="X763" s="26" t="s">
        <v>79</v>
      </c>
      <c r="Y763" s="60"/>
      <c r="Z763" s="26" t="s">
        <v>79</v>
      </c>
      <c r="AA763" s="60"/>
      <c r="AB763" s="26" t="s">
        <v>80</v>
      </c>
      <c r="AC763" s="60"/>
      <c r="AD763" s="23" t="s">
        <v>2344</v>
      </c>
    </row>
    <row r="764" spans="1:30" ht="161.1" customHeight="1">
      <c r="B764" s="21" t="s">
        <v>2345</v>
      </c>
      <c r="C764" s="20"/>
      <c r="D764" s="21" t="s">
        <v>628</v>
      </c>
      <c r="E764" s="20"/>
      <c r="F764" s="23" t="s">
        <v>209</v>
      </c>
      <c r="H764" s="21" t="s">
        <v>177</v>
      </c>
      <c r="J764" s="21" t="s">
        <v>263</v>
      </c>
      <c r="L764" s="21" t="s">
        <v>737</v>
      </c>
      <c r="N764" s="21" t="s">
        <v>178</v>
      </c>
      <c r="P764" s="21" t="s">
        <v>2346</v>
      </c>
      <c r="R764" s="21" t="s">
        <v>77</v>
      </c>
      <c r="S764" s="20"/>
      <c r="T764" s="89" t="s">
        <v>2347</v>
      </c>
      <c r="V764" s="26" t="s">
        <v>79</v>
      </c>
      <c r="W764" s="60"/>
      <c r="X764" s="26" t="s">
        <v>79</v>
      </c>
      <c r="Y764" s="60"/>
      <c r="Z764" s="26" t="s">
        <v>79</v>
      </c>
      <c r="AA764" s="60"/>
      <c r="AB764" s="26" t="s">
        <v>80</v>
      </c>
      <c r="AC764" s="60"/>
      <c r="AD764" s="23" t="s">
        <v>2348</v>
      </c>
    </row>
    <row r="765" spans="1:30" ht="66.95" customHeight="1">
      <c r="B765" s="21" t="s">
        <v>2349</v>
      </c>
      <c r="C765" s="20"/>
      <c r="D765" s="21" t="s">
        <v>115</v>
      </c>
      <c r="E765" s="20"/>
      <c r="F765" s="23" t="s">
        <v>115</v>
      </c>
      <c r="H765" s="21" t="s">
        <v>291</v>
      </c>
      <c r="J765" s="21" t="s">
        <v>263</v>
      </c>
      <c r="L765" s="21" t="s">
        <v>737</v>
      </c>
      <c r="N765" s="21" t="s">
        <v>178</v>
      </c>
      <c r="P765" s="21" t="s">
        <v>2350</v>
      </c>
      <c r="R765" s="21" t="s">
        <v>77</v>
      </c>
      <c r="S765" s="20"/>
      <c r="T765" s="58" t="s">
        <v>2351</v>
      </c>
      <c r="V765" s="26" t="s">
        <v>79</v>
      </c>
      <c r="W765" s="60"/>
      <c r="X765" s="26" t="s">
        <v>79</v>
      </c>
      <c r="Y765" s="60"/>
      <c r="Z765" s="26" t="s">
        <v>79</v>
      </c>
      <c r="AA765" s="60"/>
      <c r="AB765" s="26" t="s">
        <v>80</v>
      </c>
      <c r="AC765" s="60"/>
      <c r="AD765" s="23" t="s">
        <v>2352</v>
      </c>
    </row>
    <row r="766" spans="1:30" ht="84.95">
      <c r="A766" s="57"/>
      <c r="B766" s="21" t="s">
        <v>2353</v>
      </c>
      <c r="C766" s="20"/>
      <c r="D766" s="21" t="s">
        <v>2354</v>
      </c>
      <c r="E766" s="20"/>
      <c r="F766" s="23" t="s">
        <v>394</v>
      </c>
      <c r="H766" s="21" t="s">
        <v>291</v>
      </c>
      <c r="J766" s="21" t="s">
        <v>263</v>
      </c>
      <c r="L766" s="21" t="s">
        <v>737</v>
      </c>
      <c r="N766" s="21" t="s">
        <v>255</v>
      </c>
      <c r="P766" s="21" t="s">
        <v>2355</v>
      </c>
      <c r="R766" s="23" t="s">
        <v>77</v>
      </c>
      <c r="S766" s="20"/>
      <c r="T766" s="58" t="s">
        <v>2132</v>
      </c>
      <c r="V766" s="26" t="s">
        <v>79</v>
      </c>
      <c r="W766" s="60"/>
      <c r="X766" s="26" t="s">
        <v>79</v>
      </c>
      <c r="Y766" s="60"/>
      <c r="Z766" s="26" t="s">
        <v>79</v>
      </c>
      <c r="AA766" s="60"/>
      <c r="AB766" s="23" t="s">
        <v>2356</v>
      </c>
      <c r="AD766" s="23" t="s">
        <v>2357</v>
      </c>
    </row>
    <row r="767" spans="1:30" ht="239.1" customHeight="1">
      <c r="A767" s="57"/>
      <c r="B767" s="21" t="s">
        <v>2358</v>
      </c>
      <c r="C767" s="20"/>
      <c r="D767" s="21" t="s">
        <v>2359</v>
      </c>
      <c r="E767" s="20"/>
      <c r="F767" s="23" t="s">
        <v>115</v>
      </c>
      <c r="H767" s="21" t="s">
        <v>291</v>
      </c>
      <c r="J767" s="21" t="s">
        <v>263</v>
      </c>
      <c r="L767" s="21" t="s">
        <v>737</v>
      </c>
      <c r="N767" s="21" t="s">
        <v>255</v>
      </c>
      <c r="P767" s="21" t="s">
        <v>2360</v>
      </c>
      <c r="R767" s="23" t="s">
        <v>77</v>
      </c>
      <c r="S767" s="20"/>
      <c r="T767" s="58" t="s">
        <v>2361</v>
      </c>
      <c r="V767" s="26" t="s">
        <v>79</v>
      </c>
      <c r="W767" s="60"/>
      <c r="X767" s="26" t="s">
        <v>79</v>
      </c>
      <c r="Y767" s="60"/>
      <c r="Z767" s="26" t="s">
        <v>79</v>
      </c>
      <c r="AA767" s="60"/>
      <c r="AB767" s="26" t="s">
        <v>80</v>
      </c>
      <c r="AD767" s="23" t="s">
        <v>2362</v>
      </c>
    </row>
    <row r="768" spans="1:30" ht="119.1" customHeight="1">
      <c r="B768" s="21" t="s">
        <v>2363</v>
      </c>
      <c r="C768" s="20"/>
      <c r="D768" s="21" t="s">
        <v>2364</v>
      </c>
      <c r="E768" s="20"/>
      <c r="F768" s="23" t="s">
        <v>731</v>
      </c>
      <c r="H768" s="21" t="s">
        <v>2365</v>
      </c>
      <c r="J768" s="21" t="s">
        <v>263</v>
      </c>
      <c r="L768" s="21" t="s">
        <v>737</v>
      </c>
      <c r="N768" s="21" t="s">
        <v>125</v>
      </c>
      <c r="P768" s="21" t="s">
        <v>2366</v>
      </c>
      <c r="R768" s="21" t="s">
        <v>77</v>
      </c>
      <c r="S768" s="20"/>
      <c r="T768" s="76" t="s">
        <v>2367</v>
      </c>
      <c r="V768" s="26" t="s">
        <v>79</v>
      </c>
      <c r="W768" s="60"/>
      <c r="X768" s="26" t="s">
        <v>79</v>
      </c>
      <c r="Y768" s="60"/>
      <c r="Z768" s="26" t="s">
        <v>79</v>
      </c>
      <c r="AA768" s="60"/>
      <c r="AB768" s="26" t="s">
        <v>80</v>
      </c>
      <c r="AC768" s="60"/>
      <c r="AD768" s="23" t="s">
        <v>2368</v>
      </c>
    </row>
    <row r="769" spans="1:58" ht="135.94999999999999">
      <c r="B769" s="21" t="s">
        <v>2369</v>
      </c>
      <c r="C769" s="20"/>
      <c r="D769" s="21" t="s">
        <v>2370</v>
      </c>
      <c r="E769" s="20"/>
      <c r="F769" s="23" t="s">
        <v>363</v>
      </c>
      <c r="H769" s="21" t="s">
        <v>291</v>
      </c>
      <c r="J769" s="21" t="s">
        <v>263</v>
      </c>
      <c r="L769" s="21" t="s">
        <v>737</v>
      </c>
      <c r="N769" s="21" t="s">
        <v>103</v>
      </c>
      <c r="P769" s="21" t="s">
        <v>2371</v>
      </c>
      <c r="R769" s="21" t="s">
        <v>77</v>
      </c>
      <c r="S769" s="20"/>
      <c r="T769" s="58" t="s">
        <v>2372</v>
      </c>
      <c r="V769" s="26" t="s">
        <v>79</v>
      </c>
      <c r="W769" s="60"/>
      <c r="X769" s="26" t="s">
        <v>79</v>
      </c>
      <c r="Y769" s="60"/>
      <c r="Z769" s="26" t="s">
        <v>79</v>
      </c>
      <c r="AA769" s="60"/>
      <c r="AB769" s="26" t="s">
        <v>80</v>
      </c>
      <c r="AD769" s="23" t="s">
        <v>2373</v>
      </c>
    </row>
    <row r="770" spans="1:58" ht="119.1">
      <c r="B770" s="21" t="s">
        <v>2374</v>
      </c>
      <c r="C770" s="20"/>
      <c r="D770" s="21" t="s">
        <v>363</v>
      </c>
      <c r="E770" s="20"/>
      <c r="F770" s="23" t="s">
        <v>363</v>
      </c>
      <c r="H770" s="21" t="s">
        <v>364</v>
      </c>
      <c r="J770" s="21" t="s">
        <v>263</v>
      </c>
      <c r="L770" s="21" t="s">
        <v>737</v>
      </c>
      <c r="N770" s="21" t="s">
        <v>103</v>
      </c>
      <c r="P770" s="21" t="s">
        <v>2375</v>
      </c>
      <c r="R770" s="21" t="s">
        <v>77</v>
      </c>
      <c r="S770" s="20"/>
      <c r="T770" s="58" t="s">
        <v>2376</v>
      </c>
      <c r="V770" s="26" t="s">
        <v>79</v>
      </c>
      <c r="W770" s="60"/>
      <c r="X770" s="26" t="s">
        <v>79</v>
      </c>
      <c r="Y770" s="60"/>
      <c r="Z770" s="26" t="s">
        <v>79</v>
      </c>
      <c r="AA770" s="60"/>
      <c r="AB770" s="26" t="s">
        <v>80</v>
      </c>
      <c r="AD770" s="23" t="s">
        <v>2377</v>
      </c>
    </row>
    <row r="771" spans="1:58" ht="119.1">
      <c r="A771" s="21"/>
      <c r="B771" s="21" t="s">
        <v>2378</v>
      </c>
      <c r="C771" s="20"/>
      <c r="D771" s="21" t="s">
        <v>115</v>
      </c>
      <c r="E771" s="20"/>
      <c r="F771" s="23" t="s">
        <v>115</v>
      </c>
      <c r="H771" s="21" t="s">
        <v>291</v>
      </c>
      <c r="J771" s="21" t="s">
        <v>263</v>
      </c>
      <c r="L771" s="21" t="s">
        <v>737</v>
      </c>
      <c r="N771" s="21" t="s">
        <v>185</v>
      </c>
      <c r="P771" s="21" t="s">
        <v>2379</v>
      </c>
      <c r="R771" s="21" t="s">
        <v>77</v>
      </c>
      <c r="S771" s="20"/>
      <c r="T771" s="93" t="s">
        <v>2380</v>
      </c>
      <c r="V771" s="26" t="s">
        <v>79</v>
      </c>
      <c r="W771" s="60"/>
      <c r="X771" s="26" t="s">
        <v>79</v>
      </c>
      <c r="Y771" s="60"/>
      <c r="Z771" s="26" t="s">
        <v>79</v>
      </c>
      <c r="AA771" s="60"/>
      <c r="AB771" s="23" t="s">
        <v>2381</v>
      </c>
      <c r="AD771" s="23" t="s">
        <v>2382</v>
      </c>
    </row>
    <row r="772" spans="1:58" ht="372">
      <c r="B772" s="21" t="s">
        <v>2383</v>
      </c>
      <c r="C772" s="20"/>
      <c r="D772" s="21" t="s">
        <v>115</v>
      </c>
      <c r="E772" s="20"/>
      <c r="F772" s="23" t="s">
        <v>115</v>
      </c>
      <c r="H772" s="21" t="s">
        <v>654</v>
      </c>
      <c r="J772" s="21" t="s">
        <v>263</v>
      </c>
      <c r="L772" s="21" t="s">
        <v>737</v>
      </c>
      <c r="N772" s="21" t="s">
        <v>125</v>
      </c>
      <c r="P772" s="21" t="s">
        <v>2384</v>
      </c>
      <c r="R772" s="21" t="s">
        <v>77</v>
      </c>
      <c r="S772" s="20"/>
      <c r="T772" s="58" t="s">
        <v>2385</v>
      </c>
      <c r="V772" s="26" t="s">
        <v>79</v>
      </c>
      <c r="W772" s="60"/>
      <c r="X772" s="26" t="s">
        <v>79</v>
      </c>
      <c r="Y772" s="60"/>
      <c r="Z772" s="26" t="s">
        <v>79</v>
      </c>
      <c r="AA772" s="60"/>
      <c r="AB772" s="26" t="s">
        <v>80</v>
      </c>
      <c r="AD772" s="23" t="s">
        <v>2386</v>
      </c>
    </row>
    <row r="773" spans="1:58" ht="51">
      <c r="A773" s="57"/>
      <c r="B773" s="21" t="s">
        <v>2387</v>
      </c>
      <c r="C773" s="20"/>
      <c r="D773" s="21" t="s">
        <v>71</v>
      </c>
      <c r="E773" s="20"/>
      <c r="F773" s="23" t="s">
        <v>71</v>
      </c>
      <c r="H773" s="21" t="s">
        <v>2331</v>
      </c>
      <c r="J773" s="21" t="s">
        <v>605</v>
      </c>
      <c r="L773" s="21" t="s">
        <v>737</v>
      </c>
      <c r="N773" s="21" t="s">
        <v>103</v>
      </c>
      <c r="P773" s="21" t="s">
        <v>2388</v>
      </c>
      <c r="R773" s="23" t="s">
        <v>77</v>
      </c>
      <c r="S773" s="20"/>
      <c r="T773" s="58" t="s">
        <v>2389</v>
      </c>
      <c r="V773" s="26" t="s">
        <v>79</v>
      </c>
      <c r="W773" s="60"/>
      <c r="X773" s="26" t="s">
        <v>79</v>
      </c>
      <c r="Y773" s="60"/>
      <c r="Z773" s="26" t="s">
        <v>80</v>
      </c>
      <c r="AA773" s="60"/>
      <c r="AB773" s="26" t="s">
        <v>80</v>
      </c>
      <c r="AD773" s="23" t="s">
        <v>2390</v>
      </c>
    </row>
    <row r="774" spans="1:58" ht="68.099999999999994">
      <c r="A774" s="57"/>
      <c r="B774" s="21" t="s">
        <v>2391</v>
      </c>
      <c r="C774" s="20"/>
      <c r="D774" s="21" t="s">
        <v>71</v>
      </c>
      <c r="E774" s="20"/>
      <c r="F774" s="23" t="s">
        <v>71</v>
      </c>
      <c r="H774" s="21" t="s">
        <v>298</v>
      </c>
      <c r="J774" s="21" t="s">
        <v>605</v>
      </c>
      <c r="L774" s="21" t="s">
        <v>737</v>
      </c>
      <c r="N774" s="21" t="s">
        <v>103</v>
      </c>
      <c r="P774" s="21" t="s">
        <v>2392</v>
      </c>
      <c r="R774" s="23" t="s">
        <v>77</v>
      </c>
      <c r="S774" s="20"/>
      <c r="T774" s="58" t="s">
        <v>2393</v>
      </c>
      <c r="V774" s="26" t="s">
        <v>79</v>
      </c>
      <c r="W774" s="60"/>
      <c r="X774" s="26" t="s">
        <v>79</v>
      </c>
      <c r="Y774" s="60"/>
      <c r="Z774" s="26" t="s">
        <v>80</v>
      </c>
      <c r="AA774" s="60"/>
      <c r="AB774" s="26" t="s">
        <v>80</v>
      </c>
      <c r="AD774" s="23" t="s">
        <v>2394</v>
      </c>
    </row>
    <row r="775" spans="1:58" ht="68.099999999999994">
      <c r="A775" s="57"/>
      <c r="B775" s="21" t="s">
        <v>2395</v>
      </c>
      <c r="C775" s="20"/>
      <c r="D775" s="21" t="s">
        <v>71</v>
      </c>
      <c r="E775" s="20"/>
      <c r="F775" s="23" t="s">
        <v>71</v>
      </c>
      <c r="H775" s="21" t="s">
        <v>177</v>
      </c>
      <c r="J775" s="21" t="s">
        <v>605</v>
      </c>
      <c r="L775" s="21" t="s">
        <v>737</v>
      </c>
      <c r="N775" s="21" t="s">
        <v>178</v>
      </c>
      <c r="P775" s="21" t="s">
        <v>2396</v>
      </c>
      <c r="R775" s="23" t="s">
        <v>77</v>
      </c>
      <c r="S775" s="20"/>
      <c r="T775" s="58" t="s">
        <v>2397</v>
      </c>
      <c r="V775" s="26" t="s">
        <v>79</v>
      </c>
      <c r="W775" s="60"/>
      <c r="X775" s="26" t="s">
        <v>79</v>
      </c>
      <c r="Y775" s="60"/>
      <c r="Z775" s="26" t="s">
        <v>80</v>
      </c>
      <c r="AA775" s="60"/>
      <c r="AB775" s="26" t="s">
        <v>80</v>
      </c>
      <c r="AD775" s="23" t="s">
        <v>2398</v>
      </c>
    </row>
    <row r="776" spans="1:58" ht="119.1">
      <c r="A776" s="23"/>
      <c r="B776" s="21" t="s">
        <v>2399</v>
      </c>
      <c r="C776" s="20"/>
      <c r="D776" s="21" t="s">
        <v>2400</v>
      </c>
      <c r="E776" s="20"/>
      <c r="F776" s="23" t="s">
        <v>2401</v>
      </c>
      <c r="H776" s="21" t="s">
        <v>72</v>
      </c>
      <c r="J776" s="21" t="s">
        <v>605</v>
      </c>
      <c r="L776" s="21" t="s">
        <v>737</v>
      </c>
      <c r="N776" s="21" t="s">
        <v>103</v>
      </c>
      <c r="P776" s="21" t="s">
        <v>2402</v>
      </c>
      <c r="R776" s="23" t="s">
        <v>77</v>
      </c>
      <c r="S776" s="20"/>
      <c r="T776" s="58" t="s">
        <v>2403</v>
      </c>
      <c r="V776" s="26" t="s">
        <v>79</v>
      </c>
      <c r="W776" s="60"/>
      <c r="X776" s="26" t="s">
        <v>79</v>
      </c>
      <c r="Y776" s="60"/>
      <c r="Z776" s="26" t="s">
        <v>80</v>
      </c>
      <c r="AA776" s="60"/>
      <c r="AB776" s="26" t="s">
        <v>80</v>
      </c>
      <c r="AD776" s="23" t="s">
        <v>2404</v>
      </c>
    </row>
    <row r="777" spans="1:58" ht="237.95">
      <c r="B777" s="21" t="s">
        <v>2405</v>
      </c>
      <c r="C777" s="20"/>
      <c r="D777" s="21" t="s">
        <v>115</v>
      </c>
      <c r="E777" s="20"/>
      <c r="F777" s="23" t="s">
        <v>402</v>
      </c>
      <c r="H777" s="21" t="s">
        <v>2406</v>
      </c>
      <c r="J777" s="21" t="s">
        <v>2407</v>
      </c>
      <c r="L777" s="21" t="s">
        <v>737</v>
      </c>
      <c r="N777" s="21" t="s">
        <v>2408</v>
      </c>
      <c r="P777" s="21" t="s">
        <v>2409</v>
      </c>
      <c r="R777" s="21" t="s">
        <v>77</v>
      </c>
      <c r="S777" s="20"/>
      <c r="T777" s="76" t="s">
        <v>2410</v>
      </c>
      <c r="U777" s="77"/>
      <c r="V777" s="26" t="s">
        <v>79</v>
      </c>
      <c r="W777" s="25"/>
      <c r="X777" s="26" t="s">
        <v>80</v>
      </c>
      <c r="Y777" s="60"/>
      <c r="Z777" s="26" t="s">
        <v>80</v>
      </c>
      <c r="AA777" s="25"/>
      <c r="AB777" s="26" t="s">
        <v>80</v>
      </c>
      <c r="AD777" s="23" t="s">
        <v>2411</v>
      </c>
    </row>
    <row r="778" spans="1:58" s="84" customFormat="1" ht="84.95">
      <c r="A778" s="78"/>
      <c r="B778" s="79" t="s">
        <v>2412</v>
      </c>
      <c r="C778" s="78"/>
      <c r="D778" s="79" t="s">
        <v>71</v>
      </c>
      <c r="E778" s="78"/>
      <c r="F778" s="79" t="s">
        <v>71</v>
      </c>
      <c r="G778" s="78"/>
      <c r="H778" s="79" t="s">
        <v>2413</v>
      </c>
      <c r="I778" s="78"/>
      <c r="J778" s="79" t="s">
        <v>411</v>
      </c>
      <c r="K778" s="78"/>
      <c r="L778" s="79" t="s">
        <v>737</v>
      </c>
      <c r="M778" s="78"/>
      <c r="N778" s="79" t="s">
        <v>103</v>
      </c>
      <c r="O778" s="78"/>
      <c r="P778" s="79" t="s">
        <v>2405</v>
      </c>
      <c r="Q778" s="78"/>
      <c r="R778" s="79" t="s">
        <v>77</v>
      </c>
      <c r="S778" s="78"/>
      <c r="T778" s="80" t="s">
        <v>2414</v>
      </c>
      <c r="U778" s="81"/>
      <c r="V778" s="26" t="s">
        <v>79</v>
      </c>
      <c r="W778" s="60"/>
      <c r="X778" s="26" t="s">
        <v>80</v>
      </c>
      <c r="Y778" s="60"/>
      <c r="Z778" s="26" t="s">
        <v>80</v>
      </c>
      <c r="AA778" s="82"/>
      <c r="AB778" s="83" t="s">
        <v>80</v>
      </c>
      <c r="AD778" s="23" t="s">
        <v>2411</v>
      </c>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c r="BD778" s="83"/>
      <c r="BE778" s="83"/>
      <c r="BF778" s="83"/>
    </row>
    <row r="779" spans="1:58" ht="84.95">
      <c r="B779" s="21" t="s">
        <v>2415</v>
      </c>
      <c r="C779" s="20"/>
      <c r="D779" s="21" t="s">
        <v>1414</v>
      </c>
      <c r="E779" s="20"/>
      <c r="F779" s="23" t="s">
        <v>254</v>
      </c>
      <c r="H779" s="21" t="s">
        <v>2406</v>
      </c>
      <c r="J779" s="21" t="s">
        <v>411</v>
      </c>
      <c r="L779" s="21" t="s">
        <v>737</v>
      </c>
      <c r="N779" s="21" t="s">
        <v>236</v>
      </c>
      <c r="P779" s="21" t="s">
        <v>2405</v>
      </c>
      <c r="R779" s="21" t="s">
        <v>77</v>
      </c>
      <c r="S779" s="20"/>
      <c r="T779" s="76" t="s">
        <v>2416</v>
      </c>
      <c r="U779" s="77"/>
      <c r="V779" s="26" t="s">
        <v>79</v>
      </c>
      <c r="W779" s="25"/>
      <c r="X779" s="26" t="s">
        <v>80</v>
      </c>
      <c r="Y779" s="60"/>
      <c r="Z779" s="26" t="s">
        <v>80</v>
      </c>
      <c r="AA779" s="25"/>
      <c r="AB779" s="26" t="s">
        <v>80</v>
      </c>
      <c r="AD779" s="23" t="s">
        <v>2411</v>
      </c>
    </row>
    <row r="780" spans="1:58" ht="84.95">
      <c r="B780" s="21" t="s">
        <v>2417</v>
      </c>
      <c r="C780" s="20"/>
      <c r="D780" s="21" t="s">
        <v>2418</v>
      </c>
      <c r="E780" s="20"/>
      <c r="F780" s="23" t="s">
        <v>254</v>
      </c>
      <c r="H780" s="21" t="s">
        <v>2406</v>
      </c>
      <c r="J780" s="21" t="s">
        <v>411</v>
      </c>
      <c r="L780" s="21" t="s">
        <v>737</v>
      </c>
      <c r="N780" s="21" t="s">
        <v>236</v>
      </c>
      <c r="P780" s="21" t="s">
        <v>2405</v>
      </c>
      <c r="R780" s="21" t="s">
        <v>77</v>
      </c>
      <c r="S780" s="20"/>
      <c r="T780" s="76" t="s">
        <v>2416</v>
      </c>
      <c r="U780" s="77"/>
      <c r="V780" s="26" t="s">
        <v>79</v>
      </c>
      <c r="W780" s="25"/>
      <c r="X780" s="26" t="s">
        <v>80</v>
      </c>
      <c r="Y780" s="60"/>
      <c r="Z780" s="26" t="s">
        <v>80</v>
      </c>
      <c r="AA780" s="25"/>
      <c r="AB780" s="26" t="s">
        <v>80</v>
      </c>
      <c r="AD780" s="23" t="s">
        <v>2411</v>
      </c>
    </row>
    <row r="781" spans="1:58" ht="84.95">
      <c r="B781" s="21" t="s">
        <v>2419</v>
      </c>
      <c r="C781" s="20"/>
      <c r="D781" s="21" t="s">
        <v>1434</v>
      </c>
      <c r="E781" s="20"/>
      <c r="F781" s="23" t="s">
        <v>254</v>
      </c>
      <c r="H781" s="21" t="s">
        <v>2406</v>
      </c>
      <c r="J781" s="21" t="s">
        <v>411</v>
      </c>
      <c r="L781" s="21" t="s">
        <v>737</v>
      </c>
      <c r="N781" s="21" t="s">
        <v>236</v>
      </c>
      <c r="P781" s="21" t="s">
        <v>2405</v>
      </c>
      <c r="R781" s="21" t="s">
        <v>77</v>
      </c>
      <c r="S781" s="20"/>
      <c r="T781" s="76" t="s">
        <v>2416</v>
      </c>
      <c r="U781" s="77"/>
      <c r="V781" s="26" t="s">
        <v>79</v>
      </c>
      <c r="W781" s="25"/>
      <c r="X781" s="26" t="s">
        <v>80</v>
      </c>
      <c r="Y781" s="60"/>
      <c r="Z781" s="26" t="s">
        <v>80</v>
      </c>
      <c r="AA781" s="25"/>
      <c r="AB781" s="26" t="s">
        <v>80</v>
      </c>
      <c r="AD781" s="23" t="s">
        <v>2411</v>
      </c>
    </row>
    <row r="782" spans="1:58" ht="84.95">
      <c r="B782" s="21" t="s">
        <v>2420</v>
      </c>
      <c r="C782" s="20"/>
      <c r="D782" s="21" t="s">
        <v>2421</v>
      </c>
      <c r="E782" s="20"/>
      <c r="F782" s="23" t="s">
        <v>254</v>
      </c>
      <c r="H782" s="21" t="s">
        <v>2406</v>
      </c>
      <c r="J782" s="21" t="s">
        <v>411</v>
      </c>
      <c r="L782" s="21" t="s">
        <v>737</v>
      </c>
      <c r="N782" s="21" t="s">
        <v>236</v>
      </c>
      <c r="P782" s="21" t="s">
        <v>2405</v>
      </c>
      <c r="R782" s="21" t="s">
        <v>77</v>
      </c>
      <c r="S782" s="20"/>
      <c r="T782" s="76" t="s">
        <v>2416</v>
      </c>
      <c r="U782" s="77"/>
      <c r="V782" s="26" t="s">
        <v>79</v>
      </c>
      <c r="W782" s="25"/>
      <c r="X782" s="26" t="s">
        <v>80</v>
      </c>
      <c r="Y782" s="60"/>
      <c r="Z782" s="26" t="s">
        <v>80</v>
      </c>
      <c r="AA782" s="25"/>
      <c r="AB782" s="26" t="s">
        <v>80</v>
      </c>
      <c r="AD782" s="23" t="s">
        <v>2411</v>
      </c>
    </row>
    <row r="783" spans="1:58" ht="84.95">
      <c r="B783" s="21" t="s">
        <v>2422</v>
      </c>
      <c r="C783" s="20"/>
      <c r="D783" s="21" t="s">
        <v>1612</v>
      </c>
      <c r="E783" s="20"/>
      <c r="F783" s="23" t="s">
        <v>254</v>
      </c>
      <c r="H783" s="21" t="s">
        <v>2406</v>
      </c>
      <c r="J783" s="21" t="s">
        <v>411</v>
      </c>
      <c r="L783" s="21" t="s">
        <v>737</v>
      </c>
      <c r="N783" s="21" t="s">
        <v>236</v>
      </c>
      <c r="P783" s="21" t="s">
        <v>2405</v>
      </c>
      <c r="R783" s="21" t="s">
        <v>77</v>
      </c>
      <c r="S783" s="20"/>
      <c r="T783" s="76" t="s">
        <v>2416</v>
      </c>
      <c r="U783" s="77"/>
      <c r="V783" s="26" t="s">
        <v>79</v>
      </c>
      <c r="W783" s="25"/>
      <c r="X783" s="26" t="s">
        <v>80</v>
      </c>
      <c r="Y783" s="60"/>
      <c r="Z783" s="26" t="s">
        <v>80</v>
      </c>
      <c r="AA783" s="25"/>
      <c r="AB783" s="26" t="s">
        <v>80</v>
      </c>
      <c r="AD783" s="23" t="s">
        <v>2411</v>
      </c>
    </row>
    <row r="784" spans="1:58" ht="84.95">
      <c r="B784" s="21" t="s">
        <v>2423</v>
      </c>
      <c r="C784" s="20"/>
      <c r="D784" s="21" t="s">
        <v>2424</v>
      </c>
      <c r="E784" s="20"/>
      <c r="F784" s="23" t="s">
        <v>254</v>
      </c>
      <c r="H784" s="21" t="s">
        <v>2406</v>
      </c>
      <c r="J784" s="21" t="s">
        <v>411</v>
      </c>
      <c r="L784" s="21" t="s">
        <v>737</v>
      </c>
      <c r="N784" s="21" t="s">
        <v>236</v>
      </c>
      <c r="P784" s="21" t="s">
        <v>2405</v>
      </c>
      <c r="R784" s="21" t="s">
        <v>77</v>
      </c>
      <c r="S784" s="20"/>
      <c r="T784" s="76" t="s">
        <v>2416</v>
      </c>
      <c r="U784" s="77"/>
      <c r="V784" s="26" t="s">
        <v>79</v>
      </c>
      <c r="W784" s="25"/>
      <c r="X784" s="26" t="s">
        <v>80</v>
      </c>
      <c r="Y784" s="60"/>
      <c r="Z784" s="26" t="s">
        <v>80</v>
      </c>
      <c r="AA784" s="25"/>
      <c r="AB784" s="26" t="s">
        <v>80</v>
      </c>
      <c r="AD784" s="23" t="s">
        <v>2411</v>
      </c>
    </row>
    <row r="785" spans="2:30" ht="84.95">
      <c r="B785" s="21" t="s">
        <v>2425</v>
      </c>
      <c r="C785" s="20"/>
      <c r="D785" s="21" t="s">
        <v>2426</v>
      </c>
      <c r="E785" s="20"/>
      <c r="F785" s="23" t="s">
        <v>254</v>
      </c>
      <c r="H785" s="21" t="s">
        <v>2406</v>
      </c>
      <c r="J785" s="21" t="s">
        <v>411</v>
      </c>
      <c r="L785" s="21" t="s">
        <v>737</v>
      </c>
      <c r="N785" s="21" t="s">
        <v>236</v>
      </c>
      <c r="P785" s="21" t="s">
        <v>2405</v>
      </c>
      <c r="R785" s="21" t="s">
        <v>77</v>
      </c>
      <c r="S785" s="20"/>
      <c r="T785" s="76" t="s">
        <v>2416</v>
      </c>
      <c r="U785" s="77"/>
      <c r="V785" s="26" t="s">
        <v>79</v>
      </c>
      <c r="W785" s="25"/>
      <c r="X785" s="26" t="s">
        <v>80</v>
      </c>
      <c r="Y785" s="60"/>
      <c r="Z785" s="26" t="s">
        <v>80</v>
      </c>
      <c r="AA785" s="25"/>
      <c r="AB785" s="26" t="s">
        <v>80</v>
      </c>
      <c r="AD785" s="23" t="s">
        <v>2411</v>
      </c>
    </row>
    <row r="786" spans="2:30" ht="84.95">
      <c r="B786" s="21" t="s">
        <v>2427</v>
      </c>
      <c r="C786" s="20"/>
      <c r="D786" s="21" t="s">
        <v>2428</v>
      </c>
      <c r="E786" s="20"/>
      <c r="F786" s="23" t="s">
        <v>123</v>
      </c>
      <c r="H786" s="21" t="s">
        <v>2406</v>
      </c>
      <c r="J786" s="21" t="s">
        <v>411</v>
      </c>
      <c r="L786" s="21" t="s">
        <v>737</v>
      </c>
      <c r="N786" s="21" t="s">
        <v>236</v>
      </c>
      <c r="P786" s="21" t="s">
        <v>2405</v>
      </c>
      <c r="R786" s="21" t="s">
        <v>77</v>
      </c>
      <c r="S786" s="20"/>
      <c r="T786" s="76" t="s">
        <v>2416</v>
      </c>
      <c r="V786" s="26" t="s">
        <v>79</v>
      </c>
      <c r="W786" s="25"/>
      <c r="X786" s="26" t="s">
        <v>80</v>
      </c>
      <c r="Y786" s="60"/>
      <c r="Z786" s="26" t="s">
        <v>80</v>
      </c>
      <c r="AA786" s="25"/>
      <c r="AB786" s="26" t="s">
        <v>80</v>
      </c>
      <c r="AD786" s="23" t="s">
        <v>2411</v>
      </c>
    </row>
    <row r="787" spans="2:30" ht="84.95">
      <c r="B787" s="21" t="s">
        <v>2429</v>
      </c>
      <c r="C787" s="20"/>
      <c r="D787" s="21" t="s">
        <v>2428</v>
      </c>
      <c r="E787" s="20"/>
      <c r="F787" s="23" t="s">
        <v>123</v>
      </c>
      <c r="H787" s="21" t="s">
        <v>2406</v>
      </c>
      <c r="J787" s="21" t="s">
        <v>411</v>
      </c>
      <c r="L787" s="21" t="s">
        <v>737</v>
      </c>
      <c r="N787" s="21" t="s">
        <v>236</v>
      </c>
      <c r="P787" s="21" t="s">
        <v>2405</v>
      </c>
      <c r="R787" s="21" t="s">
        <v>77</v>
      </c>
      <c r="S787" s="20"/>
      <c r="T787" s="76" t="s">
        <v>2416</v>
      </c>
      <c r="V787" s="26" t="s">
        <v>79</v>
      </c>
      <c r="W787" s="25"/>
      <c r="X787" s="26" t="s">
        <v>80</v>
      </c>
      <c r="Y787" s="60"/>
      <c r="Z787" s="26" t="s">
        <v>80</v>
      </c>
      <c r="AA787" s="25"/>
      <c r="AB787" s="26" t="s">
        <v>80</v>
      </c>
      <c r="AD787" s="23" t="s">
        <v>2411</v>
      </c>
    </row>
    <row r="788" spans="2:30" ht="84.95">
      <c r="B788" s="21" t="s">
        <v>2430</v>
      </c>
      <c r="C788" s="20"/>
      <c r="D788" s="21" t="s">
        <v>2428</v>
      </c>
      <c r="E788" s="20"/>
      <c r="F788" s="23" t="s">
        <v>123</v>
      </c>
      <c r="H788" s="21" t="s">
        <v>2406</v>
      </c>
      <c r="J788" s="21" t="s">
        <v>411</v>
      </c>
      <c r="L788" s="21" t="s">
        <v>737</v>
      </c>
      <c r="N788" s="21" t="s">
        <v>236</v>
      </c>
      <c r="P788" s="21" t="s">
        <v>2405</v>
      </c>
      <c r="R788" s="21" t="s">
        <v>77</v>
      </c>
      <c r="S788" s="20"/>
      <c r="T788" s="76" t="s">
        <v>2416</v>
      </c>
      <c r="V788" s="26" t="s">
        <v>79</v>
      </c>
      <c r="W788" s="25"/>
      <c r="X788" s="26" t="s">
        <v>80</v>
      </c>
      <c r="Y788" s="60"/>
      <c r="Z788" s="26" t="s">
        <v>80</v>
      </c>
      <c r="AA788" s="25"/>
      <c r="AB788" s="26" t="s">
        <v>80</v>
      </c>
      <c r="AD788" s="23" t="s">
        <v>2411</v>
      </c>
    </row>
    <row r="789" spans="2:30" ht="84.95">
      <c r="B789" s="21" t="s">
        <v>2431</v>
      </c>
      <c r="C789" s="20"/>
      <c r="D789" s="21" t="s">
        <v>2428</v>
      </c>
      <c r="E789" s="20"/>
      <c r="F789" s="23" t="s">
        <v>123</v>
      </c>
      <c r="H789" s="21" t="s">
        <v>2406</v>
      </c>
      <c r="J789" s="21" t="s">
        <v>411</v>
      </c>
      <c r="L789" s="21" t="s">
        <v>737</v>
      </c>
      <c r="N789" s="21" t="s">
        <v>236</v>
      </c>
      <c r="P789" s="21" t="s">
        <v>2405</v>
      </c>
      <c r="R789" s="21" t="s">
        <v>77</v>
      </c>
      <c r="S789" s="20"/>
      <c r="T789" s="76" t="s">
        <v>2416</v>
      </c>
      <c r="V789" s="26" t="s">
        <v>79</v>
      </c>
      <c r="W789" s="25"/>
      <c r="X789" s="26" t="s">
        <v>80</v>
      </c>
      <c r="Y789" s="60"/>
      <c r="Z789" s="26" t="s">
        <v>80</v>
      </c>
      <c r="AA789" s="25"/>
      <c r="AB789" s="26" t="s">
        <v>80</v>
      </c>
      <c r="AD789" s="23" t="s">
        <v>2411</v>
      </c>
    </row>
    <row r="790" spans="2:30" ht="84.95">
      <c r="B790" s="21" t="s">
        <v>2432</v>
      </c>
      <c r="C790" s="20"/>
      <c r="D790" s="21" t="s">
        <v>2428</v>
      </c>
      <c r="E790" s="20"/>
      <c r="F790" s="23" t="s">
        <v>123</v>
      </c>
      <c r="H790" s="21" t="s">
        <v>2406</v>
      </c>
      <c r="J790" s="21" t="s">
        <v>411</v>
      </c>
      <c r="L790" s="21" t="s">
        <v>737</v>
      </c>
      <c r="N790" s="21" t="s">
        <v>236</v>
      </c>
      <c r="P790" s="21" t="s">
        <v>2405</v>
      </c>
      <c r="R790" s="21" t="s">
        <v>77</v>
      </c>
      <c r="S790" s="20"/>
      <c r="T790" s="76" t="s">
        <v>2416</v>
      </c>
      <c r="V790" s="26" t="s">
        <v>79</v>
      </c>
      <c r="W790" s="25"/>
      <c r="X790" s="26" t="s">
        <v>80</v>
      </c>
      <c r="Y790" s="60"/>
      <c r="Z790" s="26" t="s">
        <v>80</v>
      </c>
      <c r="AA790" s="25"/>
      <c r="AB790" s="26" t="s">
        <v>80</v>
      </c>
      <c r="AD790" s="23" t="s">
        <v>2411</v>
      </c>
    </row>
    <row r="791" spans="2:30" ht="84.95">
      <c r="B791" s="21" t="s">
        <v>2433</v>
      </c>
      <c r="C791" s="20"/>
      <c r="D791" s="21" t="s">
        <v>2428</v>
      </c>
      <c r="E791" s="20"/>
      <c r="F791" s="23" t="s">
        <v>123</v>
      </c>
      <c r="H791" s="21" t="s">
        <v>2406</v>
      </c>
      <c r="J791" s="21" t="s">
        <v>411</v>
      </c>
      <c r="L791" s="21" t="s">
        <v>737</v>
      </c>
      <c r="N791" s="21" t="s">
        <v>236</v>
      </c>
      <c r="P791" s="21" t="s">
        <v>2405</v>
      </c>
      <c r="R791" s="21" t="s">
        <v>77</v>
      </c>
      <c r="S791" s="20"/>
      <c r="T791" s="76" t="s">
        <v>2416</v>
      </c>
      <c r="V791" s="26" t="s">
        <v>79</v>
      </c>
      <c r="W791" s="25"/>
      <c r="X791" s="26" t="s">
        <v>80</v>
      </c>
      <c r="Y791" s="60"/>
      <c r="Z791" s="26" t="s">
        <v>80</v>
      </c>
      <c r="AA791" s="25"/>
      <c r="AB791" s="26" t="s">
        <v>80</v>
      </c>
      <c r="AD791" s="23" t="s">
        <v>2411</v>
      </c>
    </row>
    <row r="792" spans="2:30" ht="84.95">
      <c r="B792" s="21" t="s">
        <v>2434</v>
      </c>
      <c r="C792" s="20"/>
      <c r="D792" s="21" t="s">
        <v>2435</v>
      </c>
      <c r="E792" s="20"/>
      <c r="F792" s="23" t="s">
        <v>254</v>
      </c>
      <c r="H792" s="21" t="s">
        <v>2406</v>
      </c>
      <c r="J792" s="21" t="s">
        <v>411</v>
      </c>
      <c r="L792" s="21" t="s">
        <v>737</v>
      </c>
      <c r="N792" s="21" t="s">
        <v>236</v>
      </c>
      <c r="P792" s="21" t="s">
        <v>2405</v>
      </c>
      <c r="R792" s="21" t="s">
        <v>77</v>
      </c>
      <c r="S792" s="20"/>
      <c r="T792" s="76" t="s">
        <v>2416</v>
      </c>
      <c r="U792" s="77"/>
      <c r="V792" s="26" t="s">
        <v>79</v>
      </c>
      <c r="W792" s="25"/>
      <c r="X792" s="26" t="s">
        <v>80</v>
      </c>
      <c r="Y792" s="60"/>
      <c r="Z792" s="26" t="s">
        <v>80</v>
      </c>
      <c r="AA792" s="25"/>
      <c r="AB792" s="26" t="s">
        <v>80</v>
      </c>
      <c r="AD792" s="23" t="s">
        <v>2411</v>
      </c>
    </row>
    <row r="793" spans="2:30" ht="84.95">
      <c r="B793" s="21" t="s">
        <v>2436</v>
      </c>
      <c r="C793" s="20"/>
      <c r="D793" s="21" t="s">
        <v>553</v>
      </c>
      <c r="E793" s="20"/>
      <c r="F793" s="23" t="s">
        <v>254</v>
      </c>
      <c r="H793" s="21" t="s">
        <v>2406</v>
      </c>
      <c r="J793" s="21" t="s">
        <v>411</v>
      </c>
      <c r="L793" s="21" t="s">
        <v>737</v>
      </c>
      <c r="N793" s="21" t="s">
        <v>236</v>
      </c>
      <c r="P793" s="21" t="s">
        <v>2405</v>
      </c>
      <c r="R793" s="21" t="s">
        <v>77</v>
      </c>
      <c r="S793" s="20"/>
      <c r="T793" s="76" t="s">
        <v>2416</v>
      </c>
      <c r="U793" s="77"/>
      <c r="V793" s="26" t="s">
        <v>79</v>
      </c>
      <c r="W793" s="25"/>
      <c r="X793" s="26" t="s">
        <v>80</v>
      </c>
      <c r="Y793" s="60"/>
      <c r="Z793" s="26" t="s">
        <v>80</v>
      </c>
      <c r="AA793" s="25"/>
      <c r="AB793" s="26" t="s">
        <v>80</v>
      </c>
      <c r="AD793" s="23" t="s">
        <v>2411</v>
      </c>
    </row>
    <row r="794" spans="2:30" ht="84.95">
      <c r="B794" s="21" t="s">
        <v>2437</v>
      </c>
      <c r="C794" s="20"/>
      <c r="D794" s="21" t="s">
        <v>553</v>
      </c>
      <c r="E794" s="20"/>
      <c r="F794" s="23" t="s">
        <v>254</v>
      </c>
      <c r="H794" s="21" t="s">
        <v>2406</v>
      </c>
      <c r="J794" s="21" t="s">
        <v>411</v>
      </c>
      <c r="L794" s="21" t="s">
        <v>737</v>
      </c>
      <c r="N794" s="21" t="s">
        <v>236</v>
      </c>
      <c r="P794" s="21" t="s">
        <v>2405</v>
      </c>
      <c r="R794" s="21" t="s">
        <v>77</v>
      </c>
      <c r="S794" s="20"/>
      <c r="T794" s="76" t="s">
        <v>2416</v>
      </c>
      <c r="U794" s="77"/>
      <c r="V794" s="26" t="s">
        <v>79</v>
      </c>
      <c r="W794" s="25"/>
      <c r="X794" s="26" t="s">
        <v>80</v>
      </c>
      <c r="Y794" s="60"/>
      <c r="Z794" s="26" t="s">
        <v>80</v>
      </c>
      <c r="AA794" s="25"/>
      <c r="AB794" s="26" t="s">
        <v>80</v>
      </c>
      <c r="AD794" s="23" t="s">
        <v>2411</v>
      </c>
    </row>
    <row r="795" spans="2:30" ht="84.95">
      <c r="B795" s="21" t="s">
        <v>2438</v>
      </c>
      <c r="C795" s="20"/>
      <c r="D795" s="21" t="s">
        <v>1515</v>
      </c>
      <c r="E795" s="20"/>
      <c r="F795" s="23" t="s">
        <v>254</v>
      </c>
      <c r="H795" s="21" t="s">
        <v>2406</v>
      </c>
      <c r="J795" s="21" t="s">
        <v>411</v>
      </c>
      <c r="L795" s="21" t="s">
        <v>737</v>
      </c>
      <c r="N795" s="21" t="s">
        <v>236</v>
      </c>
      <c r="P795" s="21" t="s">
        <v>2405</v>
      </c>
      <c r="R795" s="21" t="s">
        <v>77</v>
      </c>
      <c r="S795" s="20"/>
      <c r="T795" s="76" t="s">
        <v>2416</v>
      </c>
      <c r="U795" s="77"/>
      <c r="V795" s="26" t="s">
        <v>79</v>
      </c>
      <c r="W795" s="25"/>
      <c r="X795" s="26" t="s">
        <v>80</v>
      </c>
      <c r="Y795" s="60"/>
      <c r="Z795" s="26" t="s">
        <v>80</v>
      </c>
      <c r="AA795" s="25"/>
      <c r="AB795" s="26" t="s">
        <v>80</v>
      </c>
      <c r="AD795" s="23" t="s">
        <v>2411</v>
      </c>
    </row>
    <row r="796" spans="2:30" ht="84.95">
      <c r="B796" s="21" t="s">
        <v>2439</v>
      </c>
      <c r="C796" s="20"/>
      <c r="D796" s="21" t="s">
        <v>1515</v>
      </c>
      <c r="E796" s="20"/>
      <c r="F796" s="23" t="s">
        <v>254</v>
      </c>
      <c r="H796" s="21" t="s">
        <v>2406</v>
      </c>
      <c r="J796" s="21" t="s">
        <v>411</v>
      </c>
      <c r="L796" s="21" t="s">
        <v>737</v>
      </c>
      <c r="N796" s="21" t="s">
        <v>236</v>
      </c>
      <c r="P796" s="21" t="s">
        <v>2405</v>
      </c>
      <c r="R796" s="21" t="s">
        <v>77</v>
      </c>
      <c r="S796" s="20"/>
      <c r="T796" s="76" t="s">
        <v>2416</v>
      </c>
      <c r="U796" s="77"/>
      <c r="V796" s="26" t="s">
        <v>79</v>
      </c>
      <c r="W796" s="25"/>
      <c r="X796" s="26" t="s">
        <v>80</v>
      </c>
      <c r="Y796" s="60"/>
      <c r="Z796" s="26" t="s">
        <v>80</v>
      </c>
      <c r="AA796" s="25"/>
      <c r="AB796" s="26" t="s">
        <v>80</v>
      </c>
      <c r="AD796" s="23" t="s">
        <v>2411</v>
      </c>
    </row>
    <row r="797" spans="2:30" ht="84.95">
      <c r="B797" s="21" t="s">
        <v>2440</v>
      </c>
      <c r="C797" s="20"/>
      <c r="D797" s="21" t="s">
        <v>2441</v>
      </c>
      <c r="E797" s="20"/>
      <c r="F797" s="23" t="s">
        <v>254</v>
      </c>
      <c r="H797" s="21" t="s">
        <v>2406</v>
      </c>
      <c r="J797" s="21" t="s">
        <v>411</v>
      </c>
      <c r="L797" s="21" t="s">
        <v>737</v>
      </c>
      <c r="N797" s="21" t="s">
        <v>236</v>
      </c>
      <c r="P797" s="21" t="s">
        <v>2405</v>
      </c>
      <c r="R797" s="21" t="s">
        <v>77</v>
      </c>
      <c r="S797" s="20"/>
      <c r="T797" s="76" t="s">
        <v>2416</v>
      </c>
      <c r="U797" s="77"/>
      <c r="V797" s="26" t="s">
        <v>79</v>
      </c>
      <c r="W797" s="25"/>
      <c r="X797" s="26" t="s">
        <v>80</v>
      </c>
      <c r="Y797" s="60"/>
      <c r="Z797" s="26" t="s">
        <v>80</v>
      </c>
      <c r="AA797" s="25"/>
      <c r="AB797" s="26" t="s">
        <v>80</v>
      </c>
      <c r="AD797" s="23" t="s">
        <v>2411</v>
      </c>
    </row>
    <row r="798" spans="2:30" ht="84.95">
      <c r="B798" s="21" t="s">
        <v>2442</v>
      </c>
      <c r="C798" s="20"/>
      <c r="D798" s="21" t="s">
        <v>2443</v>
      </c>
      <c r="E798" s="20"/>
      <c r="F798" s="23" t="s">
        <v>254</v>
      </c>
      <c r="H798" s="21" t="s">
        <v>2406</v>
      </c>
      <c r="J798" s="21" t="s">
        <v>411</v>
      </c>
      <c r="L798" s="21" t="s">
        <v>737</v>
      </c>
      <c r="N798" s="21" t="s">
        <v>236</v>
      </c>
      <c r="P798" s="21" t="s">
        <v>2405</v>
      </c>
      <c r="R798" s="21" t="s">
        <v>77</v>
      </c>
      <c r="S798" s="20"/>
      <c r="T798" s="76" t="s">
        <v>2416</v>
      </c>
      <c r="U798" s="77"/>
      <c r="V798" s="26" t="s">
        <v>79</v>
      </c>
      <c r="W798" s="25"/>
      <c r="X798" s="26" t="s">
        <v>80</v>
      </c>
      <c r="Y798" s="60"/>
      <c r="Z798" s="26" t="s">
        <v>80</v>
      </c>
      <c r="AA798" s="25"/>
      <c r="AB798" s="26" t="s">
        <v>80</v>
      </c>
      <c r="AD798" s="23" t="s">
        <v>2411</v>
      </c>
    </row>
    <row r="799" spans="2:30" ht="84.95">
      <c r="B799" s="21" t="s">
        <v>2444</v>
      </c>
      <c r="C799" s="20"/>
      <c r="D799" s="21" t="s">
        <v>2445</v>
      </c>
      <c r="E799" s="20"/>
      <c r="F799" s="23" t="s">
        <v>254</v>
      </c>
      <c r="H799" s="21" t="s">
        <v>2406</v>
      </c>
      <c r="J799" s="21" t="s">
        <v>411</v>
      </c>
      <c r="L799" s="21" t="s">
        <v>737</v>
      </c>
      <c r="N799" s="21" t="s">
        <v>236</v>
      </c>
      <c r="P799" s="21" t="s">
        <v>2405</v>
      </c>
      <c r="R799" s="21" t="s">
        <v>77</v>
      </c>
      <c r="S799" s="20"/>
      <c r="T799" s="76" t="s">
        <v>2416</v>
      </c>
      <c r="U799" s="77"/>
      <c r="V799" s="26" t="s">
        <v>79</v>
      </c>
      <c r="W799" s="25"/>
      <c r="X799" s="26" t="s">
        <v>80</v>
      </c>
      <c r="Y799" s="60"/>
      <c r="Z799" s="26" t="s">
        <v>80</v>
      </c>
      <c r="AA799" s="25"/>
      <c r="AB799" s="26" t="s">
        <v>80</v>
      </c>
      <c r="AD799" s="23" t="s">
        <v>2411</v>
      </c>
    </row>
    <row r="800" spans="2:30" ht="84.95">
      <c r="B800" s="21" t="s">
        <v>2446</v>
      </c>
      <c r="C800" s="20"/>
      <c r="D800" s="21" t="s">
        <v>1214</v>
      </c>
      <c r="E800" s="20"/>
      <c r="F800" s="23" t="s">
        <v>254</v>
      </c>
      <c r="H800" s="21" t="s">
        <v>2406</v>
      </c>
      <c r="J800" s="21" t="s">
        <v>411</v>
      </c>
      <c r="L800" s="21" t="s">
        <v>737</v>
      </c>
      <c r="N800" s="21" t="s">
        <v>236</v>
      </c>
      <c r="P800" s="21" t="s">
        <v>2405</v>
      </c>
      <c r="R800" s="21" t="s">
        <v>77</v>
      </c>
      <c r="S800" s="20"/>
      <c r="T800" s="76" t="s">
        <v>2416</v>
      </c>
      <c r="U800" s="77"/>
      <c r="V800" s="26" t="s">
        <v>79</v>
      </c>
      <c r="W800" s="25"/>
      <c r="X800" s="26" t="s">
        <v>80</v>
      </c>
      <c r="Y800" s="60"/>
      <c r="Z800" s="26" t="s">
        <v>80</v>
      </c>
      <c r="AA800" s="25"/>
      <c r="AB800" s="26" t="s">
        <v>80</v>
      </c>
      <c r="AD800" s="23" t="s">
        <v>2411</v>
      </c>
    </row>
    <row r="801" spans="2:30" ht="84.95">
      <c r="B801" s="21" t="s">
        <v>2447</v>
      </c>
      <c r="C801" s="20"/>
      <c r="D801" s="21" t="s">
        <v>1214</v>
      </c>
      <c r="E801" s="20"/>
      <c r="F801" s="23" t="s">
        <v>254</v>
      </c>
      <c r="H801" s="21" t="s">
        <v>2406</v>
      </c>
      <c r="J801" s="21" t="s">
        <v>411</v>
      </c>
      <c r="L801" s="21" t="s">
        <v>737</v>
      </c>
      <c r="N801" s="21" t="s">
        <v>236</v>
      </c>
      <c r="P801" s="21" t="s">
        <v>2405</v>
      </c>
      <c r="R801" s="21" t="s">
        <v>77</v>
      </c>
      <c r="S801" s="20"/>
      <c r="T801" s="76" t="s">
        <v>2416</v>
      </c>
      <c r="U801" s="77"/>
      <c r="V801" s="26" t="s">
        <v>79</v>
      </c>
      <c r="W801" s="25"/>
      <c r="X801" s="26" t="s">
        <v>80</v>
      </c>
      <c r="Y801" s="60"/>
      <c r="Z801" s="26" t="s">
        <v>80</v>
      </c>
      <c r="AA801" s="25"/>
      <c r="AB801" s="26" t="s">
        <v>80</v>
      </c>
      <c r="AD801" s="23" t="s">
        <v>2411</v>
      </c>
    </row>
    <row r="802" spans="2:30" ht="84.95">
      <c r="B802" s="21" t="s">
        <v>2448</v>
      </c>
      <c r="C802" s="20"/>
      <c r="D802" s="21" t="s">
        <v>2172</v>
      </c>
      <c r="E802" s="20"/>
      <c r="F802" s="23" t="s">
        <v>254</v>
      </c>
      <c r="H802" s="21" t="s">
        <v>2406</v>
      </c>
      <c r="J802" s="21" t="s">
        <v>411</v>
      </c>
      <c r="L802" s="21" t="s">
        <v>737</v>
      </c>
      <c r="N802" s="21" t="s">
        <v>236</v>
      </c>
      <c r="P802" s="21" t="s">
        <v>2405</v>
      </c>
      <c r="R802" s="21" t="s">
        <v>77</v>
      </c>
      <c r="S802" s="20"/>
      <c r="T802" s="76" t="s">
        <v>2416</v>
      </c>
      <c r="U802" s="77"/>
      <c r="V802" s="26" t="s">
        <v>79</v>
      </c>
      <c r="W802" s="25"/>
      <c r="X802" s="26" t="s">
        <v>80</v>
      </c>
      <c r="Y802" s="60"/>
      <c r="Z802" s="26" t="s">
        <v>80</v>
      </c>
      <c r="AA802" s="25"/>
      <c r="AB802" s="26" t="s">
        <v>80</v>
      </c>
      <c r="AD802" s="23" t="s">
        <v>2411</v>
      </c>
    </row>
    <row r="803" spans="2:30" ht="84.95">
      <c r="B803" s="21" t="s">
        <v>2449</v>
      </c>
      <c r="C803" s="20"/>
      <c r="D803" s="21" t="s">
        <v>2450</v>
      </c>
      <c r="E803" s="20"/>
      <c r="F803" s="23" t="s">
        <v>254</v>
      </c>
      <c r="H803" s="21" t="s">
        <v>2406</v>
      </c>
      <c r="J803" s="21" t="s">
        <v>411</v>
      </c>
      <c r="L803" s="21" t="s">
        <v>737</v>
      </c>
      <c r="N803" s="21" t="s">
        <v>236</v>
      </c>
      <c r="P803" s="21" t="s">
        <v>2405</v>
      </c>
      <c r="R803" s="21" t="s">
        <v>77</v>
      </c>
      <c r="S803" s="20"/>
      <c r="T803" s="76" t="s">
        <v>2416</v>
      </c>
      <c r="V803" s="26" t="s">
        <v>79</v>
      </c>
      <c r="W803" s="25"/>
      <c r="X803" s="26" t="s">
        <v>80</v>
      </c>
      <c r="Y803" s="60"/>
      <c r="Z803" s="26" t="s">
        <v>80</v>
      </c>
      <c r="AA803" s="25"/>
      <c r="AB803" s="26" t="s">
        <v>80</v>
      </c>
      <c r="AD803" s="23" t="s">
        <v>2411</v>
      </c>
    </row>
    <row r="804" spans="2:30" ht="84.95">
      <c r="B804" s="21" t="s">
        <v>2451</v>
      </c>
      <c r="C804" s="20"/>
      <c r="D804" s="21" t="s">
        <v>604</v>
      </c>
      <c r="E804" s="20"/>
      <c r="F804" s="23" t="s">
        <v>254</v>
      </c>
      <c r="H804" s="21" t="s">
        <v>2406</v>
      </c>
      <c r="J804" s="21" t="s">
        <v>411</v>
      </c>
      <c r="L804" s="21" t="s">
        <v>737</v>
      </c>
      <c r="N804" s="21" t="s">
        <v>236</v>
      </c>
      <c r="P804" s="21" t="s">
        <v>2405</v>
      </c>
      <c r="R804" s="21" t="s">
        <v>77</v>
      </c>
      <c r="S804" s="20"/>
      <c r="T804" s="76" t="s">
        <v>2416</v>
      </c>
      <c r="U804" s="77"/>
      <c r="V804" s="26" t="s">
        <v>79</v>
      </c>
      <c r="W804" s="25"/>
      <c r="X804" s="26" t="s">
        <v>80</v>
      </c>
      <c r="Y804" s="60"/>
      <c r="Z804" s="26" t="s">
        <v>80</v>
      </c>
      <c r="AA804" s="25"/>
      <c r="AB804" s="26" t="s">
        <v>80</v>
      </c>
      <c r="AD804" s="23" t="s">
        <v>2411</v>
      </c>
    </row>
    <row r="805" spans="2:30" ht="84.95">
      <c r="B805" s="21" t="s">
        <v>2452</v>
      </c>
      <c r="C805" s="20"/>
      <c r="D805" s="21" t="s">
        <v>2453</v>
      </c>
      <c r="E805" s="20"/>
      <c r="F805" s="23" t="s">
        <v>254</v>
      </c>
      <c r="H805" s="21" t="s">
        <v>2406</v>
      </c>
      <c r="J805" s="21" t="s">
        <v>411</v>
      </c>
      <c r="L805" s="21" t="s">
        <v>737</v>
      </c>
      <c r="N805" s="21" t="s">
        <v>236</v>
      </c>
      <c r="P805" s="21" t="s">
        <v>2405</v>
      </c>
      <c r="R805" s="21" t="s">
        <v>77</v>
      </c>
      <c r="S805" s="20"/>
      <c r="T805" s="76" t="s">
        <v>2416</v>
      </c>
      <c r="U805" s="77"/>
      <c r="V805" s="26" t="s">
        <v>79</v>
      </c>
      <c r="W805" s="25"/>
      <c r="X805" s="26" t="s">
        <v>80</v>
      </c>
      <c r="Y805" s="60"/>
      <c r="Z805" s="26" t="s">
        <v>80</v>
      </c>
      <c r="AA805" s="25"/>
      <c r="AB805" s="26" t="s">
        <v>80</v>
      </c>
      <c r="AD805" s="23" t="s">
        <v>2411</v>
      </c>
    </row>
    <row r="806" spans="2:30" ht="84.95">
      <c r="B806" s="21" t="s">
        <v>2454</v>
      </c>
      <c r="C806" s="20"/>
      <c r="D806" s="21" t="s">
        <v>2455</v>
      </c>
      <c r="E806" s="20"/>
      <c r="F806" s="23" t="s">
        <v>254</v>
      </c>
      <c r="H806" s="21" t="s">
        <v>2406</v>
      </c>
      <c r="J806" s="21" t="s">
        <v>411</v>
      </c>
      <c r="L806" s="21" t="s">
        <v>737</v>
      </c>
      <c r="N806" s="21" t="s">
        <v>236</v>
      </c>
      <c r="P806" s="21" t="s">
        <v>2405</v>
      </c>
      <c r="R806" s="21" t="s">
        <v>77</v>
      </c>
      <c r="S806" s="20"/>
      <c r="T806" s="76" t="s">
        <v>2416</v>
      </c>
      <c r="U806" s="77"/>
      <c r="V806" s="26" t="s">
        <v>79</v>
      </c>
      <c r="W806" s="25"/>
      <c r="X806" s="26" t="s">
        <v>80</v>
      </c>
      <c r="Y806" s="60"/>
      <c r="Z806" s="26" t="s">
        <v>80</v>
      </c>
      <c r="AA806" s="25"/>
      <c r="AB806" s="26" t="s">
        <v>80</v>
      </c>
      <c r="AD806" s="23" t="s">
        <v>2411</v>
      </c>
    </row>
    <row r="807" spans="2:30" ht="84.95">
      <c r="B807" s="21" t="s">
        <v>2456</v>
      </c>
      <c r="C807" s="20"/>
      <c r="D807" s="21" t="s">
        <v>2457</v>
      </c>
      <c r="E807" s="20"/>
      <c r="F807" s="23" t="s">
        <v>254</v>
      </c>
      <c r="H807" s="21" t="s">
        <v>2406</v>
      </c>
      <c r="J807" s="21" t="s">
        <v>411</v>
      </c>
      <c r="L807" s="21" t="s">
        <v>737</v>
      </c>
      <c r="N807" s="21" t="s">
        <v>236</v>
      </c>
      <c r="P807" s="21" t="s">
        <v>2405</v>
      </c>
      <c r="R807" s="21" t="s">
        <v>77</v>
      </c>
      <c r="S807" s="20"/>
      <c r="T807" s="76" t="s">
        <v>2416</v>
      </c>
      <c r="U807" s="77"/>
      <c r="V807" s="26" t="s">
        <v>79</v>
      </c>
      <c r="W807" s="25"/>
      <c r="X807" s="26" t="s">
        <v>80</v>
      </c>
      <c r="Y807" s="60"/>
      <c r="Z807" s="26" t="s">
        <v>80</v>
      </c>
      <c r="AA807" s="25"/>
      <c r="AB807" s="26" t="s">
        <v>80</v>
      </c>
      <c r="AD807" s="23" t="s">
        <v>2411</v>
      </c>
    </row>
    <row r="808" spans="2:30" ht="84.95">
      <c r="B808" s="21" t="s">
        <v>2458</v>
      </c>
      <c r="C808" s="20"/>
      <c r="D808" s="21" t="s">
        <v>2459</v>
      </c>
      <c r="E808" s="20"/>
      <c r="F808" s="23" t="s">
        <v>254</v>
      </c>
      <c r="H808" s="21" t="s">
        <v>2406</v>
      </c>
      <c r="J808" s="21" t="s">
        <v>411</v>
      </c>
      <c r="L808" s="21" t="s">
        <v>737</v>
      </c>
      <c r="N808" s="21" t="s">
        <v>236</v>
      </c>
      <c r="P808" s="21" t="s">
        <v>2405</v>
      </c>
      <c r="R808" s="21" t="s">
        <v>77</v>
      </c>
      <c r="S808" s="20"/>
      <c r="T808" s="76" t="s">
        <v>2416</v>
      </c>
      <c r="U808" s="77"/>
      <c r="V808" s="26" t="s">
        <v>79</v>
      </c>
      <c r="W808" s="25"/>
      <c r="X808" s="26" t="s">
        <v>80</v>
      </c>
      <c r="Y808" s="60"/>
      <c r="Z808" s="26" t="s">
        <v>80</v>
      </c>
      <c r="AA808" s="25"/>
      <c r="AB808" s="26" t="s">
        <v>80</v>
      </c>
      <c r="AD808" s="23" t="s">
        <v>2411</v>
      </c>
    </row>
    <row r="809" spans="2:30" ht="84.95">
      <c r="B809" s="21" t="s">
        <v>2460</v>
      </c>
      <c r="C809" s="20"/>
      <c r="D809" s="21" t="s">
        <v>613</v>
      </c>
      <c r="E809" s="20"/>
      <c r="F809" s="23" t="s">
        <v>254</v>
      </c>
      <c r="H809" s="21" t="s">
        <v>2406</v>
      </c>
      <c r="J809" s="21" t="s">
        <v>411</v>
      </c>
      <c r="L809" s="21" t="s">
        <v>737</v>
      </c>
      <c r="N809" s="21" t="s">
        <v>236</v>
      </c>
      <c r="P809" s="21" t="s">
        <v>2405</v>
      </c>
      <c r="R809" s="21" t="s">
        <v>77</v>
      </c>
      <c r="S809" s="20"/>
      <c r="T809" s="76" t="s">
        <v>2416</v>
      </c>
      <c r="U809" s="77"/>
      <c r="V809" s="26" t="s">
        <v>79</v>
      </c>
      <c r="W809" s="25"/>
      <c r="X809" s="26" t="s">
        <v>80</v>
      </c>
      <c r="Y809" s="60"/>
      <c r="Z809" s="26" t="s">
        <v>80</v>
      </c>
      <c r="AA809" s="25"/>
      <c r="AB809" s="26" t="s">
        <v>80</v>
      </c>
      <c r="AD809" s="23" t="s">
        <v>2411</v>
      </c>
    </row>
    <row r="810" spans="2:30" ht="84.95">
      <c r="B810" s="21" t="s">
        <v>2461</v>
      </c>
      <c r="C810" s="20"/>
      <c r="D810" s="21" t="s">
        <v>613</v>
      </c>
      <c r="E810" s="20"/>
      <c r="F810" s="23" t="s">
        <v>254</v>
      </c>
      <c r="H810" s="21" t="s">
        <v>2406</v>
      </c>
      <c r="J810" s="21" t="s">
        <v>411</v>
      </c>
      <c r="L810" s="21" t="s">
        <v>737</v>
      </c>
      <c r="N810" s="21" t="s">
        <v>236</v>
      </c>
      <c r="P810" s="21" t="s">
        <v>2405</v>
      </c>
      <c r="R810" s="21" t="s">
        <v>77</v>
      </c>
      <c r="S810" s="20"/>
      <c r="T810" s="76" t="s">
        <v>2416</v>
      </c>
      <c r="U810" s="77"/>
      <c r="V810" s="26" t="s">
        <v>79</v>
      </c>
      <c r="W810" s="25"/>
      <c r="X810" s="26" t="s">
        <v>80</v>
      </c>
      <c r="Y810" s="60"/>
      <c r="Z810" s="26" t="s">
        <v>80</v>
      </c>
      <c r="AA810" s="25"/>
      <c r="AB810" s="26" t="s">
        <v>80</v>
      </c>
      <c r="AD810" s="23" t="s">
        <v>2411</v>
      </c>
    </row>
    <row r="811" spans="2:30" ht="84.95">
      <c r="B811" s="21" t="s">
        <v>2462</v>
      </c>
      <c r="C811" s="20"/>
      <c r="D811" s="21" t="s">
        <v>2463</v>
      </c>
      <c r="E811" s="20"/>
      <c r="F811" s="23" t="s">
        <v>254</v>
      </c>
      <c r="H811" s="21" t="s">
        <v>2406</v>
      </c>
      <c r="J811" s="21" t="s">
        <v>411</v>
      </c>
      <c r="L811" s="21" t="s">
        <v>737</v>
      </c>
      <c r="N811" s="21" t="s">
        <v>236</v>
      </c>
      <c r="P811" s="21" t="s">
        <v>2405</v>
      </c>
      <c r="R811" s="21" t="s">
        <v>77</v>
      </c>
      <c r="S811" s="20"/>
      <c r="T811" s="76" t="s">
        <v>2416</v>
      </c>
      <c r="U811" s="77"/>
      <c r="V811" s="26" t="s">
        <v>79</v>
      </c>
      <c r="W811" s="25"/>
      <c r="X811" s="26" t="s">
        <v>80</v>
      </c>
      <c r="Y811" s="60"/>
      <c r="Z811" s="26" t="s">
        <v>80</v>
      </c>
      <c r="AA811" s="25"/>
      <c r="AB811" s="26" t="s">
        <v>80</v>
      </c>
      <c r="AD811" s="23" t="s">
        <v>2411</v>
      </c>
    </row>
    <row r="812" spans="2:30" ht="84.95">
      <c r="B812" s="21" t="s">
        <v>2464</v>
      </c>
      <c r="C812" s="20"/>
      <c r="D812" s="21" t="s">
        <v>2465</v>
      </c>
      <c r="E812" s="20"/>
      <c r="F812" s="23" t="s">
        <v>254</v>
      </c>
      <c r="H812" s="21" t="s">
        <v>2406</v>
      </c>
      <c r="J812" s="21" t="s">
        <v>411</v>
      </c>
      <c r="L812" s="21" t="s">
        <v>737</v>
      </c>
      <c r="N812" s="21" t="s">
        <v>236</v>
      </c>
      <c r="P812" s="21" t="s">
        <v>2405</v>
      </c>
      <c r="R812" s="21" t="s">
        <v>77</v>
      </c>
      <c r="S812" s="20"/>
      <c r="T812" s="76" t="s">
        <v>2416</v>
      </c>
      <c r="U812" s="77"/>
      <c r="V812" s="26" t="s">
        <v>79</v>
      </c>
      <c r="W812" s="25"/>
      <c r="X812" s="26" t="s">
        <v>80</v>
      </c>
      <c r="Y812" s="60"/>
      <c r="Z812" s="26" t="s">
        <v>80</v>
      </c>
      <c r="AA812" s="25"/>
      <c r="AB812" s="26" t="s">
        <v>80</v>
      </c>
      <c r="AD812" s="23" t="s">
        <v>2411</v>
      </c>
    </row>
    <row r="813" spans="2:30" ht="84.95">
      <c r="B813" s="21" t="s">
        <v>2466</v>
      </c>
      <c r="C813" s="20"/>
      <c r="D813" s="21" t="s">
        <v>2031</v>
      </c>
      <c r="E813" s="20"/>
      <c r="F813" s="23" t="s">
        <v>254</v>
      </c>
      <c r="H813" s="21" t="s">
        <v>2406</v>
      </c>
      <c r="J813" s="21" t="s">
        <v>411</v>
      </c>
      <c r="L813" s="21" t="s">
        <v>737</v>
      </c>
      <c r="N813" s="21" t="s">
        <v>236</v>
      </c>
      <c r="P813" s="21" t="s">
        <v>2405</v>
      </c>
      <c r="R813" s="21" t="s">
        <v>77</v>
      </c>
      <c r="S813" s="20"/>
      <c r="T813" s="76" t="s">
        <v>2416</v>
      </c>
      <c r="U813" s="77"/>
      <c r="V813" s="26" t="s">
        <v>79</v>
      </c>
      <c r="W813" s="25"/>
      <c r="X813" s="26" t="s">
        <v>80</v>
      </c>
      <c r="Y813" s="60"/>
      <c r="Z813" s="26" t="s">
        <v>80</v>
      </c>
      <c r="AA813" s="25"/>
      <c r="AB813" s="26" t="s">
        <v>80</v>
      </c>
      <c r="AD813" s="23" t="s">
        <v>2411</v>
      </c>
    </row>
    <row r="814" spans="2:30" ht="84.95">
      <c r="B814" s="21" t="s">
        <v>2467</v>
      </c>
      <c r="C814" s="20"/>
      <c r="D814" s="21" t="s">
        <v>2468</v>
      </c>
      <c r="E814" s="20"/>
      <c r="F814" s="23" t="s">
        <v>254</v>
      </c>
      <c r="H814" s="21" t="s">
        <v>2406</v>
      </c>
      <c r="J814" s="21" t="s">
        <v>411</v>
      </c>
      <c r="L814" s="21" t="s">
        <v>737</v>
      </c>
      <c r="N814" s="21" t="s">
        <v>236</v>
      </c>
      <c r="P814" s="21" t="s">
        <v>2405</v>
      </c>
      <c r="R814" s="21" t="s">
        <v>77</v>
      </c>
      <c r="S814" s="20"/>
      <c r="T814" s="76" t="s">
        <v>2416</v>
      </c>
      <c r="U814" s="77"/>
      <c r="V814" s="26" t="s">
        <v>79</v>
      </c>
      <c r="W814" s="25"/>
      <c r="X814" s="26" t="s">
        <v>80</v>
      </c>
      <c r="Y814" s="60"/>
      <c r="Z814" s="26" t="s">
        <v>80</v>
      </c>
      <c r="AA814" s="25"/>
      <c r="AB814" s="26" t="s">
        <v>80</v>
      </c>
      <c r="AD814" s="23" t="s">
        <v>2411</v>
      </c>
    </row>
    <row r="815" spans="2:30" ht="84.95">
      <c r="B815" s="21" t="s">
        <v>2469</v>
      </c>
      <c r="C815" s="20"/>
      <c r="D815" s="21" t="s">
        <v>362</v>
      </c>
      <c r="E815" s="20"/>
      <c r="F815" s="23" t="s">
        <v>363</v>
      </c>
      <c r="H815" s="21" t="s">
        <v>2406</v>
      </c>
      <c r="J815" s="21" t="s">
        <v>411</v>
      </c>
      <c r="L815" s="21" t="s">
        <v>737</v>
      </c>
      <c r="N815" s="21" t="s">
        <v>236</v>
      </c>
      <c r="P815" s="21" t="s">
        <v>2405</v>
      </c>
      <c r="R815" s="21" t="s">
        <v>77</v>
      </c>
      <c r="S815" s="20"/>
      <c r="T815" s="76" t="s">
        <v>2416</v>
      </c>
      <c r="V815" s="26" t="s">
        <v>79</v>
      </c>
      <c r="W815" s="25"/>
      <c r="X815" s="26" t="s">
        <v>80</v>
      </c>
      <c r="Y815" s="60"/>
      <c r="Z815" s="26" t="s">
        <v>80</v>
      </c>
      <c r="AA815" s="25"/>
      <c r="AB815" s="26" t="s">
        <v>80</v>
      </c>
      <c r="AD815" s="23" t="s">
        <v>2411</v>
      </c>
    </row>
    <row r="816" spans="2:30" ht="84.95">
      <c r="B816" s="21" t="s">
        <v>2470</v>
      </c>
      <c r="C816" s="20"/>
      <c r="D816" s="21" t="s">
        <v>362</v>
      </c>
      <c r="E816" s="20"/>
      <c r="F816" s="23" t="s">
        <v>363</v>
      </c>
      <c r="H816" s="21" t="s">
        <v>2406</v>
      </c>
      <c r="J816" s="21" t="s">
        <v>411</v>
      </c>
      <c r="L816" s="21" t="s">
        <v>737</v>
      </c>
      <c r="N816" s="21" t="s">
        <v>236</v>
      </c>
      <c r="P816" s="21" t="s">
        <v>2405</v>
      </c>
      <c r="R816" s="21" t="s">
        <v>77</v>
      </c>
      <c r="S816" s="20"/>
      <c r="T816" s="76" t="s">
        <v>2416</v>
      </c>
      <c r="V816" s="26" t="s">
        <v>79</v>
      </c>
      <c r="W816" s="25"/>
      <c r="X816" s="26" t="s">
        <v>80</v>
      </c>
      <c r="Y816" s="60"/>
      <c r="Z816" s="26" t="s">
        <v>80</v>
      </c>
      <c r="AA816" s="25"/>
      <c r="AB816" s="26" t="s">
        <v>80</v>
      </c>
      <c r="AD816" s="23" t="s">
        <v>2411</v>
      </c>
    </row>
    <row r="817" spans="2:30" ht="84.95">
      <c r="B817" s="21" t="s">
        <v>2471</v>
      </c>
      <c r="C817" s="20"/>
      <c r="D817" s="21" t="s">
        <v>362</v>
      </c>
      <c r="E817" s="20"/>
      <c r="F817" s="23" t="s">
        <v>363</v>
      </c>
      <c r="H817" s="21" t="s">
        <v>2406</v>
      </c>
      <c r="J817" s="21" t="s">
        <v>411</v>
      </c>
      <c r="L817" s="21" t="s">
        <v>737</v>
      </c>
      <c r="N817" s="21" t="s">
        <v>236</v>
      </c>
      <c r="P817" s="21" t="s">
        <v>2405</v>
      </c>
      <c r="R817" s="21" t="s">
        <v>77</v>
      </c>
      <c r="S817" s="20"/>
      <c r="T817" s="76" t="s">
        <v>2416</v>
      </c>
      <c r="V817" s="26" t="s">
        <v>79</v>
      </c>
      <c r="W817" s="25"/>
      <c r="X817" s="26" t="s">
        <v>80</v>
      </c>
      <c r="Y817" s="60"/>
      <c r="Z817" s="26" t="s">
        <v>80</v>
      </c>
      <c r="AA817" s="25"/>
      <c r="AB817" s="26" t="s">
        <v>80</v>
      </c>
      <c r="AD817" s="23" t="s">
        <v>2411</v>
      </c>
    </row>
    <row r="818" spans="2:30" ht="84.95">
      <c r="B818" s="21" t="s">
        <v>2472</v>
      </c>
      <c r="C818" s="20"/>
      <c r="D818" s="21" t="s">
        <v>362</v>
      </c>
      <c r="E818" s="20"/>
      <c r="F818" s="23" t="s">
        <v>363</v>
      </c>
      <c r="H818" s="21" t="s">
        <v>2406</v>
      </c>
      <c r="J818" s="21" t="s">
        <v>411</v>
      </c>
      <c r="L818" s="21" t="s">
        <v>737</v>
      </c>
      <c r="N818" s="21" t="s">
        <v>236</v>
      </c>
      <c r="P818" s="21" t="s">
        <v>2405</v>
      </c>
      <c r="R818" s="21" t="s">
        <v>77</v>
      </c>
      <c r="S818" s="20"/>
      <c r="T818" s="76" t="s">
        <v>2416</v>
      </c>
      <c r="V818" s="26" t="s">
        <v>79</v>
      </c>
      <c r="W818" s="25"/>
      <c r="X818" s="26" t="s">
        <v>80</v>
      </c>
      <c r="Y818" s="60"/>
      <c r="Z818" s="26" t="s">
        <v>80</v>
      </c>
      <c r="AA818" s="25"/>
      <c r="AB818" s="26" t="s">
        <v>80</v>
      </c>
      <c r="AD818" s="23" t="s">
        <v>2411</v>
      </c>
    </row>
    <row r="819" spans="2:30" ht="84.95">
      <c r="B819" s="21" t="s">
        <v>2473</v>
      </c>
      <c r="C819" s="20"/>
      <c r="D819" s="21" t="s">
        <v>362</v>
      </c>
      <c r="E819" s="20"/>
      <c r="F819" s="23" t="s">
        <v>363</v>
      </c>
      <c r="H819" s="21" t="s">
        <v>2406</v>
      </c>
      <c r="J819" s="21" t="s">
        <v>411</v>
      </c>
      <c r="L819" s="21" t="s">
        <v>737</v>
      </c>
      <c r="N819" s="21" t="s">
        <v>236</v>
      </c>
      <c r="P819" s="21" t="s">
        <v>2405</v>
      </c>
      <c r="R819" s="21" t="s">
        <v>77</v>
      </c>
      <c r="S819" s="20"/>
      <c r="T819" s="76" t="s">
        <v>2416</v>
      </c>
      <c r="V819" s="26" t="s">
        <v>79</v>
      </c>
      <c r="W819" s="25"/>
      <c r="X819" s="26" t="s">
        <v>80</v>
      </c>
      <c r="Y819" s="60"/>
      <c r="Z819" s="26" t="s">
        <v>80</v>
      </c>
      <c r="AA819" s="25"/>
      <c r="AB819" s="26" t="s">
        <v>80</v>
      </c>
      <c r="AD819" s="23" t="s">
        <v>2411</v>
      </c>
    </row>
    <row r="820" spans="2:30" ht="84.95">
      <c r="B820" s="21" t="s">
        <v>2474</v>
      </c>
      <c r="C820" s="20"/>
      <c r="D820" s="21" t="s">
        <v>362</v>
      </c>
      <c r="E820" s="20"/>
      <c r="F820" s="23" t="s">
        <v>363</v>
      </c>
      <c r="H820" s="21" t="s">
        <v>2406</v>
      </c>
      <c r="J820" s="21" t="s">
        <v>411</v>
      </c>
      <c r="L820" s="21" t="s">
        <v>737</v>
      </c>
      <c r="N820" s="21" t="s">
        <v>236</v>
      </c>
      <c r="P820" s="21" t="s">
        <v>2405</v>
      </c>
      <c r="R820" s="21" t="s">
        <v>77</v>
      </c>
      <c r="S820" s="20"/>
      <c r="T820" s="76" t="s">
        <v>2416</v>
      </c>
      <c r="V820" s="26" t="s">
        <v>79</v>
      </c>
      <c r="W820" s="25"/>
      <c r="X820" s="26" t="s">
        <v>80</v>
      </c>
      <c r="Y820" s="60"/>
      <c r="Z820" s="26" t="s">
        <v>80</v>
      </c>
      <c r="AA820" s="25"/>
      <c r="AB820" s="26" t="s">
        <v>80</v>
      </c>
      <c r="AD820" s="23" t="s">
        <v>2411</v>
      </c>
    </row>
    <row r="821" spans="2:30" ht="84.95">
      <c r="B821" s="21" t="s">
        <v>2475</v>
      </c>
      <c r="C821" s="20"/>
      <c r="D821" s="21" t="s">
        <v>362</v>
      </c>
      <c r="E821" s="20"/>
      <c r="F821" s="23" t="s">
        <v>363</v>
      </c>
      <c r="H821" s="21" t="s">
        <v>2406</v>
      </c>
      <c r="J821" s="21" t="s">
        <v>411</v>
      </c>
      <c r="L821" s="21" t="s">
        <v>737</v>
      </c>
      <c r="N821" s="21" t="s">
        <v>236</v>
      </c>
      <c r="P821" s="21" t="s">
        <v>2405</v>
      </c>
      <c r="R821" s="21" t="s">
        <v>77</v>
      </c>
      <c r="S821" s="20"/>
      <c r="T821" s="76" t="s">
        <v>2416</v>
      </c>
      <c r="V821" s="26" t="s">
        <v>79</v>
      </c>
      <c r="W821" s="25"/>
      <c r="X821" s="26" t="s">
        <v>80</v>
      </c>
      <c r="Y821" s="60"/>
      <c r="Z821" s="26" t="s">
        <v>80</v>
      </c>
      <c r="AA821" s="25"/>
      <c r="AB821" s="26" t="s">
        <v>80</v>
      </c>
      <c r="AD821" s="23" t="s">
        <v>2411</v>
      </c>
    </row>
    <row r="822" spans="2:30" ht="84.95">
      <c r="B822" s="21" t="s">
        <v>2476</v>
      </c>
      <c r="C822" s="20"/>
      <c r="D822" s="21" t="s">
        <v>362</v>
      </c>
      <c r="E822" s="20"/>
      <c r="F822" s="23" t="s">
        <v>363</v>
      </c>
      <c r="H822" s="21" t="s">
        <v>2406</v>
      </c>
      <c r="J822" s="21" t="s">
        <v>411</v>
      </c>
      <c r="L822" s="21" t="s">
        <v>737</v>
      </c>
      <c r="N822" s="21" t="s">
        <v>236</v>
      </c>
      <c r="P822" s="21" t="s">
        <v>2405</v>
      </c>
      <c r="R822" s="21" t="s">
        <v>77</v>
      </c>
      <c r="S822" s="20"/>
      <c r="T822" s="76" t="s">
        <v>2416</v>
      </c>
      <c r="V822" s="26" t="s">
        <v>79</v>
      </c>
      <c r="W822" s="25"/>
      <c r="X822" s="26" t="s">
        <v>80</v>
      </c>
      <c r="Y822" s="60"/>
      <c r="Z822" s="26" t="s">
        <v>80</v>
      </c>
      <c r="AA822" s="25"/>
      <c r="AB822" s="26" t="s">
        <v>80</v>
      </c>
      <c r="AD822" s="23" t="s">
        <v>2411</v>
      </c>
    </row>
    <row r="823" spans="2:30" ht="84.95">
      <c r="B823" s="21" t="s">
        <v>2477</v>
      </c>
      <c r="C823" s="20"/>
      <c r="D823" s="21" t="s">
        <v>362</v>
      </c>
      <c r="E823" s="20"/>
      <c r="F823" s="23" t="s">
        <v>363</v>
      </c>
      <c r="H823" s="21" t="s">
        <v>2406</v>
      </c>
      <c r="J823" s="21" t="s">
        <v>411</v>
      </c>
      <c r="L823" s="21" t="s">
        <v>737</v>
      </c>
      <c r="N823" s="21" t="s">
        <v>236</v>
      </c>
      <c r="P823" s="21" t="s">
        <v>2405</v>
      </c>
      <c r="R823" s="21" t="s">
        <v>77</v>
      </c>
      <c r="S823" s="20"/>
      <c r="T823" s="76" t="s">
        <v>2416</v>
      </c>
      <c r="V823" s="26" t="s">
        <v>79</v>
      </c>
      <c r="W823" s="25"/>
      <c r="X823" s="26" t="s">
        <v>80</v>
      </c>
      <c r="Y823" s="60"/>
      <c r="Z823" s="26" t="s">
        <v>80</v>
      </c>
      <c r="AA823" s="25"/>
      <c r="AB823" s="26" t="s">
        <v>80</v>
      </c>
      <c r="AD823" s="23" t="s">
        <v>2411</v>
      </c>
    </row>
    <row r="824" spans="2:30" ht="84.95">
      <c r="B824" s="21" t="s">
        <v>2478</v>
      </c>
      <c r="C824" s="20"/>
      <c r="D824" s="21" t="s">
        <v>362</v>
      </c>
      <c r="E824" s="20"/>
      <c r="F824" s="23" t="s">
        <v>363</v>
      </c>
      <c r="H824" s="21" t="s">
        <v>2406</v>
      </c>
      <c r="J824" s="21" t="s">
        <v>411</v>
      </c>
      <c r="L824" s="21" t="s">
        <v>737</v>
      </c>
      <c r="N824" s="21" t="s">
        <v>236</v>
      </c>
      <c r="P824" s="21" t="s">
        <v>2405</v>
      </c>
      <c r="R824" s="21" t="s">
        <v>77</v>
      </c>
      <c r="S824" s="20"/>
      <c r="T824" s="76" t="s">
        <v>2416</v>
      </c>
      <c r="V824" s="26" t="s">
        <v>79</v>
      </c>
      <c r="W824" s="25"/>
      <c r="X824" s="26" t="s">
        <v>80</v>
      </c>
      <c r="Y824" s="60"/>
      <c r="Z824" s="26" t="s">
        <v>80</v>
      </c>
      <c r="AA824" s="25"/>
      <c r="AB824" s="26" t="s">
        <v>80</v>
      </c>
      <c r="AD824" s="23" t="s">
        <v>2411</v>
      </c>
    </row>
    <row r="825" spans="2:30" ht="84.95">
      <c r="B825" s="21" t="s">
        <v>2479</v>
      </c>
      <c r="C825" s="20"/>
      <c r="D825" s="21" t="s">
        <v>2480</v>
      </c>
      <c r="E825" s="20"/>
      <c r="F825" s="23" t="s">
        <v>363</v>
      </c>
      <c r="H825" s="21" t="s">
        <v>2406</v>
      </c>
      <c r="J825" s="21" t="s">
        <v>411</v>
      </c>
      <c r="L825" s="21" t="s">
        <v>737</v>
      </c>
      <c r="N825" s="21" t="s">
        <v>236</v>
      </c>
      <c r="P825" s="21" t="s">
        <v>2405</v>
      </c>
      <c r="R825" s="21" t="s">
        <v>77</v>
      </c>
      <c r="S825" s="20"/>
      <c r="T825" s="76" t="s">
        <v>2416</v>
      </c>
      <c r="V825" s="26" t="s">
        <v>79</v>
      </c>
      <c r="W825" s="25"/>
      <c r="X825" s="26" t="s">
        <v>80</v>
      </c>
      <c r="Y825" s="60"/>
      <c r="Z825" s="26" t="s">
        <v>80</v>
      </c>
      <c r="AA825" s="25"/>
      <c r="AB825" s="26" t="s">
        <v>80</v>
      </c>
      <c r="AD825" s="23" t="s">
        <v>2411</v>
      </c>
    </row>
    <row r="826" spans="2:30" ht="84.95">
      <c r="B826" s="21" t="s">
        <v>2481</v>
      </c>
      <c r="C826" s="20"/>
      <c r="D826" s="21" t="s">
        <v>362</v>
      </c>
      <c r="E826" s="20"/>
      <c r="F826" s="23" t="s">
        <v>363</v>
      </c>
      <c r="H826" s="21" t="s">
        <v>2406</v>
      </c>
      <c r="J826" s="21" t="s">
        <v>411</v>
      </c>
      <c r="L826" s="21" t="s">
        <v>737</v>
      </c>
      <c r="N826" s="21" t="s">
        <v>236</v>
      </c>
      <c r="P826" s="21" t="s">
        <v>2405</v>
      </c>
      <c r="R826" s="21" t="s">
        <v>77</v>
      </c>
      <c r="S826" s="20"/>
      <c r="T826" s="76" t="s">
        <v>2416</v>
      </c>
      <c r="V826" s="26" t="s">
        <v>79</v>
      </c>
      <c r="W826" s="25"/>
      <c r="X826" s="26" t="s">
        <v>80</v>
      </c>
      <c r="Y826" s="60"/>
      <c r="Z826" s="26" t="s">
        <v>80</v>
      </c>
      <c r="AA826" s="25"/>
      <c r="AB826" s="26" t="s">
        <v>80</v>
      </c>
      <c r="AD826" s="23" t="s">
        <v>2411</v>
      </c>
    </row>
    <row r="827" spans="2:30" ht="84.95">
      <c r="B827" s="21" t="s">
        <v>2482</v>
      </c>
      <c r="C827" s="20"/>
      <c r="D827" s="21" t="s">
        <v>362</v>
      </c>
      <c r="E827" s="20"/>
      <c r="F827" s="23" t="s">
        <v>363</v>
      </c>
      <c r="H827" s="21" t="s">
        <v>2406</v>
      </c>
      <c r="J827" s="21" t="s">
        <v>411</v>
      </c>
      <c r="L827" s="21" t="s">
        <v>737</v>
      </c>
      <c r="N827" s="21" t="s">
        <v>236</v>
      </c>
      <c r="P827" s="21" t="s">
        <v>2405</v>
      </c>
      <c r="R827" s="21" t="s">
        <v>77</v>
      </c>
      <c r="S827" s="20"/>
      <c r="T827" s="76" t="s">
        <v>2416</v>
      </c>
      <c r="V827" s="26" t="s">
        <v>79</v>
      </c>
      <c r="W827" s="25"/>
      <c r="X827" s="26" t="s">
        <v>80</v>
      </c>
      <c r="Y827" s="60"/>
      <c r="Z827" s="26" t="s">
        <v>80</v>
      </c>
      <c r="AA827" s="25"/>
      <c r="AB827" s="26" t="s">
        <v>80</v>
      </c>
      <c r="AD827" s="23" t="s">
        <v>2411</v>
      </c>
    </row>
    <row r="828" spans="2:30" ht="84.95">
      <c r="B828" s="21" t="s">
        <v>2483</v>
      </c>
      <c r="C828" s="20"/>
      <c r="D828" s="21" t="s">
        <v>362</v>
      </c>
      <c r="E828" s="20"/>
      <c r="F828" s="23" t="s">
        <v>363</v>
      </c>
      <c r="H828" s="21" t="s">
        <v>2406</v>
      </c>
      <c r="J828" s="21" t="s">
        <v>411</v>
      </c>
      <c r="L828" s="21" t="s">
        <v>737</v>
      </c>
      <c r="N828" s="21" t="s">
        <v>236</v>
      </c>
      <c r="P828" s="21" t="s">
        <v>2405</v>
      </c>
      <c r="R828" s="21" t="s">
        <v>77</v>
      </c>
      <c r="S828" s="20"/>
      <c r="T828" s="76" t="s">
        <v>2416</v>
      </c>
      <c r="V828" s="26" t="s">
        <v>79</v>
      </c>
      <c r="W828" s="25"/>
      <c r="X828" s="26" t="s">
        <v>80</v>
      </c>
      <c r="Y828" s="60"/>
      <c r="Z828" s="26" t="s">
        <v>80</v>
      </c>
      <c r="AA828" s="25"/>
      <c r="AB828" s="26" t="s">
        <v>80</v>
      </c>
      <c r="AD828" s="23" t="s">
        <v>2411</v>
      </c>
    </row>
    <row r="829" spans="2:30" ht="84.95">
      <c r="B829" s="21" t="s">
        <v>2484</v>
      </c>
      <c r="C829" s="20"/>
      <c r="D829" s="21" t="s">
        <v>362</v>
      </c>
      <c r="E829" s="20"/>
      <c r="F829" s="23" t="s">
        <v>363</v>
      </c>
      <c r="H829" s="21" t="s">
        <v>2406</v>
      </c>
      <c r="J829" s="21" t="s">
        <v>411</v>
      </c>
      <c r="L829" s="21" t="s">
        <v>737</v>
      </c>
      <c r="N829" s="21" t="s">
        <v>236</v>
      </c>
      <c r="P829" s="21" t="s">
        <v>2405</v>
      </c>
      <c r="R829" s="21" t="s">
        <v>77</v>
      </c>
      <c r="S829" s="20"/>
      <c r="T829" s="76" t="s">
        <v>2416</v>
      </c>
      <c r="V829" s="26" t="s">
        <v>79</v>
      </c>
      <c r="W829" s="25"/>
      <c r="X829" s="26" t="s">
        <v>80</v>
      </c>
      <c r="Y829" s="60"/>
      <c r="Z829" s="26" t="s">
        <v>80</v>
      </c>
      <c r="AA829" s="25"/>
      <c r="AB829" s="26" t="s">
        <v>80</v>
      </c>
      <c r="AD829" s="23" t="s">
        <v>2411</v>
      </c>
    </row>
    <row r="830" spans="2:30" ht="84.95">
      <c r="B830" s="21" t="s">
        <v>2485</v>
      </c>
      <c r="C830" s="20"/>
      <c r="D830" s="21" t="s">
        <v>362</v>
      </c>
      <c r="E830" s="20"/>
      <c r="F830" s="23" t="s">
        <v>363</v>
      </c>
      <c r="H830" s="21" t="s">
        <v>2406</v>
      </c>
      <c r="J830" s="21" t="s">
        <v>411</v>
      </c>
      <c r="L830" s="21" t="s">
        <v>737</v>
      </c>
      <c r="N830" s="21" t="s">
        <v>236</v>
      </c>
      <c r="P830" s="21" t="s">
        <v>2405</v>
      </c>
      <c r="R830" s="21" t="s">
        <v>77</v>
      </c>
      <c r="S830" s="20"/>
      <c r="T830" s="76" t="s">
        <v>2416</v>
      </c>
      <c r="V830" s="26" t="s">
        <v>79</v>
      </c>
      <c r="W830" s="25"/>
      <c r="X830" s="26" t="s">
        <v>80</v>
      </c>
      <c r="Y830" s="60"/>
      <c r="Z830" s="26" t="s">
        <v>80</v>
      </c>
      <c r="AA830" s="25"/>
      <c r="AB830" s="26" t="s">
        <v>80</v>
      </c>
      <c r="AD830" s="23" t="s">
        <v>2411</v>
      </c>
    </row>
    <row r="831" spans="2:30" ht="84.95">
      <c r="B831" s="21" t="s">
        <v>2486</v>
      </c>
      <c r="C831" s="20"/>
      <c r="D831" s="21" t="s">
        <v>2480</v>
      </c>
      <c r="E831" s="20"/>
      <c r="F831" s="23" t="s">
        <v>363</v>
      </c>
      <c r="H831" s="21" t="s">
        <v>2406</v>
      </c>
      <c r="J831" s="21" t="s">
        <v>411</v>
      </c>
      <c r="L831" s="21" t="s">
        <v>737</v>
      </c>
      <c r="N831" s="21" t="s">
        <v>236</v>
      </c>
      <c r="P831" s="21" t="s">
        <v>2405</v>
      </c>
      <c r="R831" s="21" t="s">
        <v>77</v>
      </c>
      <c r="S831" s="20"/>
      <c r="T831" s="76" t="s">
        <v>2416</v>
      </c>
      <c r="V831" s="26" t="s">
        <v>79</v>
      </c>
      <c r="W831" s="25"/>
      <c r="X831" s="26" t="s">
        <v>80</v>
      </c>
      <c r="Y831" s="60"/>
      <c r="Z831" s="26" t="s">
        <v>80</v>
      </c>
      <c r="AA831" s="25"/>
      <c r="AB831" s="26" t="s">
        <v>80</v>
      </c>
      <c r="AD831" s="23" t="s">
        <v>2411</v>
      </c>
    </row>
    <row r="832" spans="2:30" ht="84.95">
      <c r="B832" s="21" t="s">
        <v>2487</v>
      </c>
      <c r="C832" s="20"/>
      <c r="D832" s="21" t="s">
        <v>2480</v>
      </c>
      <c r="E832" s="20"/>
      <c r="F832" s="23" t="s">
        <v>363</v>
      </c>
      <c r="H832" s="21" t="s">
        <v>2406</v>
      </c>
      <c r="J832" s="21" t="s">
        <v>411</v>
      </c>
      <c r="L832" s="21" t="s">
        <v>737</v>
      </c>
      <c r="N832" s="21" t="s">
        <v>236</v>
      </c>
      <c r="P832" s="21" t="s">
        <v>2405</v>
      </c>
      <c r="R832" s="21" t="s">
        <v>77</v>
      </c>
      <c r="S832" s="20"/>
      <c r="T832" s="76" t="s">
        <v>2416</v>
      </c>
      <c r="V832" s="26" t="s">
        <v>79</v>
      </c>
      <c r="W832" s="25"/>
      <c r="X832" s="26" t="s">
        <v>80</v>
      </c>
      <c r="Y832" s="60"/>
      <c r="Z832" s="26" t="s">
        <v>80</v>
      </c>
      <c r="AA832" s="25"/>
      <c r="AB832" s="26" t="s">
        <v>80</v>
      </c>
      <c r="AD832" s="23" t="s">
        <v>2411</v>
      </c>
    </row>
    <row r="833" spans="2:30" ht="84.95">
      <c r="B833" s="21" t="s">
        <v>2488</v>
      </c>
      <c r="C833" s="20"/>
      <c r="D833" s="21" t="s">
        <v>2480</v>
      </c>
      <c r="E833" s="20"/>
      <c r="F833" s="23" t="s">
        <v>363</v>
      </c>
      <c r="H833" s="21" t="s">
        <v>2406</v>
      </c>
      <c r="J833" s="21" t="s">
        <v>411</v>
      </c>
      <c r="L833" s="21" t="s">
        <v>737</v>
      </c>
      <c r="N833" s="21" t="s">
        <v>236</v>
      </c>
      <c r="P833" s="21" t="s">
        <v>2405</v>
      </c>
      <c r="R833" s="21" t="s">
        <v>77</v>
      </c>
      <c r="S833" s="20"/>
      <c r="T833" s="76" t="s">
        <v>2416</v>
      </c>
      <c r="V833" s="26" t="s">
        <v>79</v>
      </c>
      <c r="W833" s="25"/>
      <c r="X833" s="26" t="s">
        <v>80</v>
      </c>
      <c r="Y833" s="60"/>
      <c r="Z833" s="26" t="s">
        <v>80</v>
      </c>
      <c r="AA833" s="25"/>
      <c r="AB833" s="26" t="s">
        <v>80</v>
      </c>
      <c r="AD833" s="23" t="s">
        <v>2411</v>
      </c>
    </row>
    <row r="834" spans="2:30" ht="84.95">
      <c r="B834" s="21" t="s">
        <v>2489</v>
      </c>
      <c r="C834" s="20"/>
      <c r="D834" s="21" t="s">
        <v>2480</v>
      </c>
      <c r="E834" s="20"/>
      <c r="F834" s="23" t="s">
        <v>363</v>
      </c>
      <c r="H834" s="21" t="s">
        <v>2406</v>
      </c>
      <c r="J834" s="21" t="s">
        <v>411</v>
      </c>
      <c r="L834" s="21" t="s">
        <v>737</v>
      </c>
      <c r="N834" s="21" t="s">
        <v>236</v>
      </c>
      <c r="P834" s="21" t="s">
        <v>2405</v>
      </c>
      <c r="R834" s="21" t="s">
        <v>77</v>
      </c>
      <c r="S834" s="20"/>
      <c r="T834" s="76" t="s">
        <v>2416</v>
      </c>
      <c r="V834" s="26" t="s">
        <v>79</v>
      </c>
      <c r="W834" s="25"/>
      <c r="X834" s="26" t="s">
        <v>80</v>
      </c>
      <c r="Y834" s="60"/>
      <c r="Z834" s="26" t="s">
        <v>80</v>
      </c>
      <c r="AA834" s="25"/>
      <c r="AB834" s="26" t="s">
        <v>80</v>
      </c>
      <c r="AD834" s="23" t="s">
        <v>2411</v>
      </c>
    </row>
    <row r="835" spans="2:30" ht="84.95">
      <c r="B835" s="21" t="s">
        <v>2490</v>
      </c>
      <c r="C835" s="20"/>
      <c r="D835" s="21" t="s">
        <v>2480</v>
      </c>
      <c r="E835" s="20"/>
      <c r="F835" s="23" t="s">
        <v>363</v>
      </c>
      <c r="H835" s="21" t="s">
        <v>2406</v>
      </c>
      <c r="J835" s="21" t="s">
        <v>411</v>
      </c>
      <c r="L835" s="21" t="s">
        <v>737</v>
      </c>
      <c r="N835" s="21" t="s">
        <v>236</v>
      </c>
      <c r="P835" s="21" t="s">
        <v>2405</v>
      </c>
      <c r="R835" s="21" t="s">
        <v>77</v>
      </c>
      <c r="S835" s="20"/>
      <c r="T835" s="76" t="s">
        <v>2416</v>
      </c>
      <c r="V835" s="26" t="s">
        <v>79</v>
      </c>
      <c r="W835" s="25"/>
      <c r="X835" s="26" t="s">
        <v>80</v>
      </c>
      <c r="Y835" s="60"/>
      <c r="Z835" s="26" t="s">
        <v>80</v>
      </c>
      <c r="AA835" s="25"/>
      <c r="AB835" s="26" t="s">
        <v>80</v>
      </c>
      <c r="AD835" s="23" t="s">
        <v>2411</v>
      </c>
    </row>
    <row r="836" spans="2:30" ht="84.95">
      <c r="B836" s="21" t="s">
        <v>2491</v>
      </c>
      <c r="C836" s="20"/>
      <c r="D836" s="21" t="s">
        <v>362</v>
      </c>
      <c r="E836" s="20"/>
      <c r="F836" s="23" t="s">
        <v>363</v>
      </c>
      <c r="H836" s="21" t="s">
        <v>2406</v>
      </c>
      <c r="J836" s="21" t="s">
        <v>411</v>
      </c>
      <c r="L836" s="21" t="s">
        <v>737</v>
      </c>
      <c r="N836" s="21" t="s">
        <v>236</v>
      </c>
      <c r="P836" s="21" t="s">
        <v>2405</v>
      </c>
      <c r="R836" s="21" t="s">
        <v>77</v>
      </c>
      <c r="S836" s="20"/>
      <c r="T836" s="76" t="s">
        <v>2416</v>
      </c>
      <c r="V836" s="26" t="s">
        <v>79</v>
      </c>
      <c r="W836" s="25"/>
      <c r="X836" s="26" t="s">
        <v>80</v>
      </c>
      <c r="Y836" s="60"/>
      <c r="Z836" s="26" t="s">
        <v>80</v>
      </c>
      <c r="AA836" s="25"/>
      <c r="AB836" s="26" t="s">
        <v>80</v>
      </c>
      <c r="AD836" s="23" t="s">
        <v>2411</v>
      </c>
    </row>
    <row r="837" spans="2:30" ht="84.95">
      <c r="B837" s="21" t="s">
        <v>2492</v>
      </c>
      <c r="C837" s="20"/>
      <c r="D837" s="21" t="s">
        <v>362</v>
      </c>
      <c r="E837" s="20"/>
      <c r="F837" s="23" t="s">
        <v>363</v>
      </c>
      <c r="H837" s="21" t="s">
        <v>2406</v>
      </c>
      <c r="J837" s="21" t="s">
        <v>411</v>
      </c>
      <c r="L837" s="21" t="s">
        <v>737</v>
      </c>
      <c r="N837" s="21" t="s">
        <v>236</v>
      </c>
      <c r="P837" s="21" t="s">
        <v>2405</v>
      </c>
      <c r="R837" s="21" t="s">
        <v>77</v>
      </c>
      <c r="S837" s="20"/>
      <c r="T837" s="76" t="s">
        <v>2416</v>
      </c>
      <c r="V837" s="26" t="s">
        <v>79</v>
      </c>
      <c r="W837" s="25"/>
      <c r="X837" s="26" t="s">
        <v>80</v>
      </c>
      <c r="Y837" s="60"/>
      <c r="Z837" s="26" t="s">
        <v>80</v>
      </c>
      <c r="AA837" s="25"/>
      <c r="AB837" s="26" t="s">
        <v>80</v>
      </c>
      <c r="AD837" s="23" t="s">
        <v>2411</v>
      </c>
    </row>
    <row r="838" spans="2:30" ht="84.95">
      <c r="B838" s="21" t="s">
        <v>2493</v>
      </c>
      <c r="C838" s="20"/>
      <c r="D838" s="21" t="s">
        <v>362</v>
      </c>
      <c r="E838" s="20"/>
      <c r="F838" s="23" t="s">
        <v>363</v>
      </c>
      <c r="H838" s="21" t="s">
        <v>2406</v>
      </c>
      <c r="J838" s="21" t="s">
        <v>411</v>
      </c>
      <c r="L838" s="21" t="s">
        <v>737</v>
      </c>
      <c r="N838" s="21" t="s">
        <v>236</v>
      </c>
      <c r="P838" s="21" t="s">
        <v>2405</v>
      </c>
      <c r="R838" s="21" t="s">
        <v>77</v>
      </c>
      <c r="S838" s="20"/>
      <c r="T838" s="76" t="s">
        <v>2416</v>
      </c>
      <c r="V838" s="26" t="s">
        <v>79</v>
      </c>
      <c r="W838" s="25"/>
      <c r="X838" s="26" t="s">
        <v>80</v>
      </c>
      <c r="Y838" s="60"/>
      <c r="Z838" s="26" t="s">
        <v>80</v>
      </c>
      <c r="AA838" s="25"/>
      <c r="AB838" s="26" t="s">
        <v>80</v>
      </c>
      <c r="AD838" s="23" t="s">
        <v>2411</v>
      </c>
    </row>
    <row r="839" spans="2:30" ht="84.95">
      <c r="B839" s="21" t="s">
        <v>2494</v>
      </c>
      <c r="C839" s="20"/>
      <c r="D839" s="21" t="s">
        <v>362</v>
      </c>
      <c r="E839" s="20"/>
      <c r="F839" s="23" t="s">
        <v>363</v>
      </c>
      <c r="H839" s="21" t="s">
        <v>2406</v>
      </c>
      <c r="J839" s="21" t="s">
        <v>411</v>
      </c>
      <c r="L839" s="21" t="s">
        <v>737</v>
      </c>
      <c r="N839" s="21" t="s">
        <v>236</v>
      </c>
      <c r="P839" s="21" t="s">
        <v>2405</v>
      </c>
      <c r="R839" s="21" t="s">
        <v>77</v>
      </c>
      <c r="S839" s="20"/>
      <c r="T839" s="76" t="s">
        <v>2416</v>
      </c>
      <c r="V839" s="26" t="s">
        <v>79</v>
      </c>
      <c r="W839" s="25"/>
      <c r="X839" s="26" t="s">
        <v>80</v>
      </c>
      <c r="Y839" s="60"/>
      <c r="Z839" s="26" t="s">
        <v>80</v>
      </c>
      <c r="AA839" s="25"/>
      <c r="AB839" s="26" t="s">
        <v>80</v>
      </c>
      <c r="AD839" s="23" t="s">
        <v>2411</v>
      </c>
    </row>
    <row r="840" spans="2:30" ht="84.95">
      <c r="B840" s="21" t="s">
        <v>2495</v>
      </c>
      <c r="C840" s="20"/>
      <c r="D840" s="21" t="s">
        <v>2480</v>
      </c>
      <c r="E840" s="20"/>
      <c r="F840" s="23" t="s">
        <v>363</v>
      </c>
      <c r="H840" s="21" t="s">
        <v>2406</v>
      </c>
      <c r="J840" s="21" t="s">
        <v>411</v>
      </c>
      <c r="L840" s="21" t="s">
        <v>737</v>
      </c>
      <c r="N840" s="21" t="s">
        <v>236</v>
      </c>
      <c r="P840" s="21" t="s">
        <v>2405</v>
      </c>
      <c r="R840" s="21" t="s">
        <v>77</v>
      </c>
      <c r="S840" s="20"/>
      <c r="T840" s="76" t="s">
        <v>2416</v>
      </c>
      <c r="V840" s="26" t="s">
        <v>79</v>
      </c>
      <c r="W840" s="25"/>
      <c r="X840" s="26" t="s">
        <v>80</v>
      </c>
      <c r="Y840" s="60"/>
      <c r="Z840" s="26" t="s">
        <v>80</v>
      </c>
      <c r="AA840" s="25"/>
      <c r="AB840" s="26" t="s">
        <v>80</v>
      </c>
      <c r="AD840" s="23" t="s">
        <v>2411</v>
      </c>
    </row>
    <row r="841" spans="2:30" ht="84.95">
      <c r="B841" s="21" t="s">
        <v>2496</v>
      </c>
      <c r="C841" s="20"/>
      <c r="D841" s="21" t="s">
        <v>370</v>
      </c>
      <c r="E841" s="20"/>
      <c r="F841" s="23" t="s">
        <v>370</v>
      </c>
      <c r="H841" s="21" t="s">
        <v>2406</v>
      </c>
      <c r="J841" s="21" t="s">
        <v>411</v>
      </c>
      <c r="L841" s="21" t="s">
        <v>737</v>
      </c>
      <c r="N841" s="21" t="s">
        <v>236</v>
      </c>
      <c r="P841" s="21" t="s">
        <v>2405</v>
      </c>
      <c r="R841" s="21" t="s">
        <v>77</v>
      </c>
      <c r="S841" s="20"/>
      <c r="T841" s="76" t="s">
        <v>2416</v>
      </c>
      <c r="V841" s="26" t="s">
        <v>79</v>
      </c>
      <c r="W841" s="25"/>
      <c r="X841" s="26" t="s">
        <v>80</v>
      </c>
      <c r="Y841" s="60"/>
      <c r="Z841" s="26" t="s">
        <v>80</v>
      </c>
      <c r="AA841" s="25"/>
      <c r="AB841" s="26" t="s">
        <v>80</v>
      </c>
      <c r="AD841" s="23" t="s">
        <v>2411</v>
      </c>
    </row>
    <row r="842" spans="2:30" ht="84.95">
      <c r="B842" s="21" t="s">
        <v>2497</v>
      </c>
      <c r="C842" s="20"/>
      <c r="D842" s="21" t="s">
        <v>370</v>
      </c>
      <c r="E842" s="20"/>
      <c r="F842" s="23" t="s">
        <v>370</v>
      </c>
      <c r="H842" s="21" t="s">
        <v>2406</v>
      </c>
      <c r="J842" s="21" t="s">
        <v>411</v>
      </c>
      <c r="L842" s="21" t="s">
        <v>737</v>
      </c>
      <c r="N842" s="21" t="s">
        <v>236</v>
      </c>
      <c r="P842" s="21" t="s">
        <v>2405</v>
      </c>
      <c r="R842" s="21" t="s">
        <v>77</v>
      </c>
      <c r="S842" s="20"/>
      <c r="T842" s="76" t="s">
        <v>2416</v>
      </c>
      <c r="V842" s="26" t="s">
        <v>79</v>
      </c>
      <c r="W842" s="25"/>
      <c r="X842" s="26" t="s">
        <v>80</v>
      </c>
      <c r="Y842" s="60"/>
      <c r="Z842" s="26" t="s">
        <v>80</v>
      </c>
      <c r="AA842" s="25"/>
      <c r="AB842" s="26" t="s">
        <v>80</v>
      </c>
      <c r="AD842" s="23" t="s">
        <v>2411</v>
      </c>
    </row>
    <row r="843" spans="2:30" ht="84.95">
      <c r="B843" s="21" t="s">
        <v>2498</v>
      </c>
      <c r="C843" s="20"/>
      <c r="D843" s="21" t="s">
        <v>370</v>
      </c>
      <c r="E843" s="20"/>
      <c r="F843" s="23" t="s">
        <v>370</v>
      </c>
      <c r="H843" s="21" t="s">
        <v>2406</v>
      </c>
      <c r="J843" s="21" t="s">
        <v>411</v>
      </c>
      <c r="L843" s="21" t="s">
        <v>737</v>
      </c>
      <c r="N843" s="21" t="s">
        <v>236</v>
      </c>
      <c r="P843" s="21" t="s">
        <v>2405</v>
      </c>
      <c r="R843" s="21" t="s">
        <v>77</v>
      </c>
      <c r="S843" s="20"/>
      <c r="T843" s="76" t="s">
        <v>2416</v>
      </c>
      <c r="V843" s="26" t="s">
        <v>79</v>
      </c>
      <c r="W843" s="25"/>
      <c r="X843" s="26" t="s">
        <v>80</v>
      </c>
      <c r="Y843" s="60"/>
      <c r="Z843" s="26" t="s">
        <v>80</v>
      </c>
      <c r="AA843" s="25"/>
      <c r="AB843" s="26" t="s">
        <v>80</v>
      </c>
      <c r="AD843" s="23" t="s">
        <v>2411</v>
      </c>
    </row>
    <row r="844" spans="2:30" ht="84.95">
      <c r="B844" s="21" t="s">
        <v>2499</v>
      </c>
      <c r="C844" s="20"/>
      <c r="D844" s="21" t="s">
        <v>370</v>
      </c>
      <c r="E844" s="20"/>
      <c r="F844" s="23" t="s">
        <v>370</v>
      </c>
      <c r="H844" s="21" t="s">
        <v>2406</v>
      </c>
      <c r="J844" s="21" t="s">
        <v>411</v>
      </c>
      <c r="L844" s="21" t="s">
        <v>737</v>
      </c>
      <c r="N844" s="21" t="s">
        <v>236</v>
      </c>
      <c r="P844" s="21" t="s">
        <v>2405</v>
      </c>
      <c r="R844" s="21" t="s">
        <v>77</v>
      </c>
      <c r="S844" s="20"/>
      <c r="T844" s="76" t="s">
        <v>2416</v>
      </c>
      <c r="V844" s="26" t="s">
        <v>79</v>
      </c>
      <c r="W844" s="25"/>
      <c r="X844" s="26" t="s">
        <v>80</v>
      </c>
      <c r="Y844" s="60"/>
      <c r="Z844" s="26" t="s">
        <v>80</v>
      </c>
      <c r="AA844" s="25"/>
      <c r="AB844" s="26" t="s">
        <v>80</v>
      </c>
      <c r="AD844" s="23" t="s">
        <v>2411</v>
      </c>
    </row>
    <row r="845" spans="2:30" ht="84.95">
      <c r="B845" s="21" t="s">
        <v>2500</v>
      </c>
      <c r="C845" s="20"/>
      <c r="D845" s="21" t="s">
        <v>370</v>
      </c>
      <c r="E845" s="20"/>
      <c r="F845" s="23" t="s">
        <v>370</v>
      </c>
      <c r="H845" s="21" t="s">
        <v>2406</v>
      </c>
      <c r="J845" s="21" t="s">
        <v>411</v>
      </c>
      <c r="L845" s="21" t="s">
        <v>737</v>
      </c>
      <c r="N845" s="21" t="s">
        <v>236</v>
      </c>
      <c r="P845" s="21" t="s">
        <v>2405</v>
      </c>
      <c r="R845" s="21" t="s">
        <v>77</v>
      </c>
      <c r="S845" s="20"/>
      <c r="T845" s="76" t="s">
        <v>2416</v>
      </c>
      <c r="V845" s="26" t="s">
        <v>79</v>
      </c>
      <c r="W845" s="25"/>
      <c r="X845" s="26" t="s">
        <v>80</v>
      </c>
      <c r="Y845" s="60"/>
      <c r="Z845" s="26" t="s">
        <v>80</v>
      </c>
      <c r="AA845" s="25"/>
      <c r="AB845" s="26" t="s">
        <v>80</v>
      </c>
      <c r="AD845" s="23" t="s">
        <v>2411</v>
      </c>
    </row>
    <row r="846" spans="2:30" ht="84.95">
      <c r="B846" s="21" t="s">
        <v>2501</v>
      </c>
      <c r="C846" s="20"/>
      <c r="D846" s="21" t="s">
        <v>370</v>
      </c>
      <c r="E846" s="20"/>
      <c r="F846" s="23" t="s">
        <v>370</v>
      </c>
      <c r="H846" s="21" t="s">
        <v>2406</v>
      </c>
      <c r="J846" s="21" t="s">
        <v>411</v>
      </c>
      <c r="L846" s="21" t="s">
        <v>737</v>
      </c>
      <c r="N846" s="21" t="s">
        <v>236</v>
      </c>
      <c r="P846" s="21" t="s">
        <v>2405</v>
      </c>
      <c r="R846" s="21" t="s">
        <v>77</v>
      </c>
      <c r="S846" s="20"/>
      <c r="T846" s="76" t="s">
        <v>2416</v>
      </c>
      <c r="V846" s="26" t="s">
        <v>79</v>
      </c>
      <c r="W846" s="25"/>
      <c r="X846" s="26" t="s">
        <v>80</v>
      </c>
      <c r="Y846" s="60"/>
      <c r="Z846" s="26" t="s">
        <v>80</v>
      </c>
      <c r="AA846" s="25"/>
      <c r="AB846" s="26" t="s">
        <v>80</v>
      </c>
      <c r="AD846" s="23" t="s">
        <v>2411</v>
      </c>
    </row>
    <row r="847" spans="2:30" ht="84.95">
      <c r="B847" s="21" t="s">
        <v>2502</v>
      </c>
      <c r="C847" s="20"/>
      <c r="D847" s="21" t="s">
        <v>370</v>
      </c>
      <c r="E847" s="20"/>
      <c r="F847" s="23" t="s">
        <v>370</v>
      </c>
      <c r="H847" s="21" t="s">
        <v>2406</v>
      </c>
      <c r="J847" s="21" t="s">
        <v>411</v>
      </c>
      <c r="L847" s="21" t="s">
        <v>737</v>
      </c>
      <c r="N847" s="21" t="s">
        <v>236</v>
      </c>
      <c r="P847" s="21" t="s">
        <v>2405</v>
      </c>
      <c r="R847" s="21" t="s">
        <v>77</v>
      </c>
      <c r="S847" s="20"/>
      <c r="T847" s="76" t="s">
        <v>2416</v>
      </c>
      <c r="V847" s="26" t="s">
        <v>79</v>
      </c>
      <c r="W847" s="25"/>
      <c r="X847" s="26" t="s">
        <v>80</v>
      </c>
      <c r="Y847" s="60"/>
      <c r="Z847" s="26" t="s">
        <v>80</v>
      </c>
      <c r="AA847" s="25"/>
      <c r="AB847" s="26" t="s">
        <v>80</v>
      </c>
      <c r="AD847" s="23" t="s">
        <v>2411</v>
      </c>
    </row>
    <row r="848" spans="2:30" ht="84.95">
      <c r="B848" s="21" t="s">
        <v>2503</v>
      </c>
      <c r="C848" s="20"/>
      <c r="D848" s="21" t="s">
        <v>370</v>
      </c>
      <c r="E848" s="20"/>
      <c r="F848" s="23" t="s">
        <v>370</v>
      </c>
      <c r="H848" s="21" t="s">
        <v>2406</v>
      </c>
      <c r="J848" s="21" t="s">
        <v>411</v>
      </c>
      <c r="L848" s="21" t="s">
        <v>737</v>
      </c>
      <c r="N848" s="21" t="s">
        <v>236</v>
      </c>
      <c r="P848" s="21" t="s">
        <v>2405</v>
      </c>
      <c r="R848" s="21" t="s">
        <v>77</v>
      </c>
      <c r="S848" s="20"/>
      <c r="T848" s="76" t="s">
        <v>2416</v>
      </c>
      <c r="V848" s="26" t="s">
        <v>79</v>
      </c>
      <c r="W848" s="25"/>
      <c r="X848" s="26" t="s">
        <v>80</v>
      </c>
      <c r="Y848" s="60"/>
      <c r="Z848" s="26" t="s">
        <v>80</v>
      </c>
      <c r="AA848" s="25"/>
      <c r="AB848" s="26" t="s">
        <v>80</v>
      </c>
      <c r="AD848" s="23" t="s">
        <v>2411</v>
      </c>
    </row>
    <row r="849" spans="2:30" ht="84.95">
      <c r="B849" s="21" t="s">
        <v>2504</v>
      </c>
      <c r="C849" s="20"/>
      <c r="D849" s="21" t="s">
        <v>370</v>
      </c>
      <c r="E849" s="20"/>
      <c r="F849" s="23" t="s">
        <v>370</v>
      </c>
      <c r="H849" s="21" t="s">
        <v>2406</v>
      </c>
      <c r="J849" s="21" t="s">
        <v>411</v>
      </c>
      <c r="L849" s="21" t="s">
        <v>737</v>
      </c>
      <c r="N849" s="21" t="s">
        <v>236</v>
      </c>
      <c r="P849" s="21" t="s">
        <v>2405</v>
      </c>
      <c r="R849" s="21" t="s">
        <v>77</v>
      </c>
      <c r="S849" s="20"/>
      <c r="T849" s="76" t="s">
        <v>2416</v>
      </c>
      <c r="V849" s="26" t="s">
        <v>79</v>
      </c>
      <c r="W849" s="25"/>
      <c r="X849" s="26" t="s">
        <v>80</v>
      </c>
      <c r="Y849" s="60"/>
      <c r="Z849" s="26" t="s">
        <v>80</v>
      </c>
      <c r="AA849" s="25"/>
      <c r="AB849" s="26" t="s">
        <v>80</v>
      </c>
      <c r="AD849" s="23" t="s">
        <v>2411</v>
      </c>
    </row>
    <row r="850" spans="2:30" ht="84.95">
      <c r="B850" s="21" t="s">
        <v>2505</v>
      </c>
      <c r="C850" s="20"/>
      <c r="D850" s="21" t="s">
        <v>370</v>
      </c>
      <c r="E850" s="20"/>
      <c r="F850" s="23" t="s">
        <v>370</v>
      </c>
      <c r="H850" s="21" t="s">
        <v>2406</v>
      </c>
      <c r="J850" s="21" t="s">
        <v>411</v>
      </c>
      <c r="L850" s="21" t="s">
        <v>737</v>
      </c>
      <c r="N850" s="21" t="s">
        <v>236</v>
      </c>
      <c r="P850" s="21" t="s">
        <v>2405</v>
      </c>
      <c r="R850" s="21" t="s">
        <v>77</v>
      </c>
      <c r="S850" s="20"/>
      <c r="T850" s="76" t="s">
        <v>2416</v>
      </c>
      <c r="V850" s="26" t="s">
        <v>79</v>
      </c>
      <c r="W850" s="25"/>
      <c r="X850" s="26" t="s">
        <v>80</v>
      </c>
      <c r="Y850" s="60"/>
      <c r="Z850" s="26" t="s">
        <v>80</v>
      </c>
      <c r="AA850" s="25"/>
      <c r="AB850" s="26" t="s">
        <v>80</v>
      </c>
      <c r="AD850" s="23" t="s">
        <v>2411</v>
      </c>
    </row>
    <row r="851" spans="2:30" ht="84.95">
      <c r="B851" s="21" t="s">
        <v>2506</v>
      </c>
      <c r="C851" s="20"/>
      <c r="D851" s="21" t="s">
        <v>370</v>
      </c>
      <c r="E851" s="20"/>
      <c r="F851" s="23" t="s">
        <v>370</v>
      </c>
      <c r="H851" s="21" t="s">
        <v>2406</v>
      </c>
      <c r="J851" s="21" t="s">
        <v>411</v>
      </c>
      <c r="L851" s="21" t="s">
        <v>737</v>
      </c>
      <c r="N851" s="21" t="s">
        <v>236</v>
      </c>
      <c r="P851" s="21" t="s">
        <v>2405</v>
      </c>
      <c r="R851" s="21" t="s">
        <v>77</v>
      </c>
      <c r="S851" s="20"/>
      <c r="T851" s="76" t="s">
        <v>2416</v>
      </c>
      <c r="V851" s="26" t="s">
        <v>79</v>
      </c>
      <c r="W851" s="25"/>
      <c r="X851" s="26" t="s">
        <v>80</v>
      </c>
      <c r="Y851" s="60"/>
      <c r="Z851" s="26" t="s">
        <v>80</v>
      </c>
      <c r="AA851" s="25"/>
      <c r="AB851" s="26" t="s">
        <v>80</v>
      </c>
      <c r="AD851" s="23" t="s">
        <v>2411</v>
      </c>
    </row>
    <row r="852" spans="2:30" ht="84.95">
      <c r="B852" s="21" t="s">
        <v>2507</v>
      </c>
      <c r="C852" s="20"/>
      <c r="D852" s="21" t="s">
        <v>370</v>
      </c>
      <c r="E852" s="20"/>
      <c r="F852" s="23" t="s">
        <v>370</v>
      </c>
      <c r="H852" s="21" t="s">
        <v>2406</v>
      </c>
      <c r="J852" s="21" t="s">
        <v>411</v>
      </c>
      <c r="L852" s="21" t="s">
        <v>737</v>
      </c>
      <c r="N852" s="21" t="s">
        <v>236</v>
      </c>
      <c r="P852" s="21" t="s">
        <v>2405</v>
      </c>
      <c r="R852" s="21" t="s">
        <v>77</v>
      </c>
      <c r="S852" s="20"/>
      <c r="T852" s="76" t="s">
        <v>2416</v>
      </c>
      <c r="V852" s="26" t="s">
        <v>79</v>
      </c>
      <c r="W852" s="25"/>
      <c r="X852" s="26" t="s">
        <v>80</v>
      </c>
      <c r="Y852" s="60"/>
      <c r="Z852" s="26" t="s">
        <v>80</v>
      </c>
      <c r="AA852" s="25"/>
      <c r="AB852" s="26" t="s">
        <v>80</v>
      </c>
      <c r="AD852" s="23" t="s">
        <v>2411</v>
      </c>
    </row>
    <row r="853" spans="2:30" ht="84.95">
      <c r="B853" s="21" t="s">
        <v>2508</v>
      </c>
      <c r="C853" s="20"/>
      <c r="D853" s="21" t="s">
        <v>370</v>
      </c>
      <c r="E853" s="20"/>
      <c r="F853" s="23" t="s">
        <v>370</v>
      </c>
      <c r="H853" s="21" t="s">
        <v>2406</v>
      </c>
      <c r="J853" s="21" t="s">
        <v>411</v>
      </c>
      <c r="L853" s="21" t="s">
        <v>737</v>
      </c>
      <c r="N853" s="21" t="s">
        <v>236</v>
      </c>
      <c r="P853" s="21" t="s">
        <v>2405</v>
      </c>
      <c r="R853" s="21" t="s">
        <v>77</v>
      </c>
      <c r="S853" s="20"/>
      <c r="T853" s="76" t="s">
        <v>2416</v>
      </c>
      <c r="V853" s="26" t="s">
        <v>79</v>
      </c>
      <c r="W853" s="25"/>
      <c r="X853" s="26" t="s">
        <v>80</v>
      </c>
      <c r="Y853" s="60"/>
      <c r="Z853" s="26" t="s">
        <v>80</v>
      </c>
      <c r="AA853" s="25"/>
      <c r="AB853" s="26" t="s">
        <v>80</v>
      </c>
      <c r="AD853" s="23" t="s">
        <v>2411</v>
      </c>
    </row>
    <row r="854" spans="2:30" ht="84.95">
      <c r="B854" s="21" t="s">
        <v>2509</v>
      </c>
      <c r="C854" s="20"/>
      <c r="D854" s="21" t="s">
        <v>370</v>
      </c>
      <c r="E854" s="20"/>
      <c r="F854" s="23" t="s">
        <v>370</v>
      </c>
      <c r="H854" s="21" t="s">
        <v>2406</v>
      </c>
      <c r="J854" s="21" t="s">
        <v>411</v>
      </c>
      <c r="L854" s="21" t="s">
        <v>737</v>
      </c>
      <c r="N854" s="21" t="s">
        <v>236</v>
      </c>
      <c r="P854" s="21" t="s">
        <v>2405</v>
      </c>
      <c r="R854" s="21" t="s">
        <v>77</v>
      </c>
      <c r="S854" s="20"/>
      <c r="T854" s="76" t="s">
        <v>2416</v>
      </c>
      <c r="V854" s="26" t="s">
        <v>79</v>
      </c>
      <c r="W854" s="25"/>
      <c r="X854" s="26" t="s">
        <v>80</v>
      </c>
      <c r="Y854" s="60"/>
      <c r="Z854" s="26" t="s">
        <v>80</v>
      </c>
      <c r="AA854" s="25"/>
      <c r="AB854" s="26" t="s">
        <v>80</v>
      </c>
      <c r="AD854" s="23" t="s">
        <v>2411</v>
      </c>
    </row>
    <row r="855" spans="2:30" ht="84.95">
      <c r="B855" s="21" t="s">
        <v>2510</v>
      </c>
      <c r="C855" s="20"/>
      <c r="D855" s="21" t="s">
        <v>370</v>
      </c>
      <c r="E855" s="20"/>
      <c r="F855" s="23" t="s">
        <v>370</v>
      </c>
      <c r="H855" s="21" t="s">
        <v>2406</v>
      </c>
      <c r="J855" s="21" t="s">
        <v>411</v>
      </c>
      <c r="L855" s="21" t="s">
        <v>737</v>
      </c>
      <c r="N855" s="21" t="s">
        <v>236</v>
      </c>
      <c r="P855" s="21" t="s">
        <v>2405</v>
      </c>
      <c r="R855" s="21" t="s">
        <v>77</v>
      </c>
      <c r="S855" s="20"/>
      <c r="T855" s="76" t="s">
        <v>2416</v>
      </c>
      <c r="V855" s="26" t="s">
        <v>79</v>
      </c>
      <c r="W855" s="25"/>
      <c r="X855" s="26" t="s">
        <v>80</v>
      </c>
      <c r="Y855" s="60"/>
      <c r="Z855" s="26" t="s">
        <v>80</v>
      </c>
      <c r="AA855" s="25"/>
      <c r="AB855" s="26" t="s">
        <v>80</v>
      </c>
      <c r="AD855" s="23" t="s">
        <v>2411</v>
      </c>
    </row>
    <row r="856" spans="2:30" ht="84.95">
      <c r="B856" s="21" t="s">
        <v>2511</v>
      </c>
      <c r="C856" s="20"/>
      <c r="D856" s="21" t="s">
        <v>370</v>
      </c>
      <c r="E856" s="20"/>
      <c r="F856" s="23" t="s">
        <v>370</v>
      </c>
      <c r="H856" s="21" t="s">
        <v>2406</v>
      </c>
      <c r="J856" s="21" t="s">
        <v>411</v>
      </c>
      <c r="L856" s="21" t="s">
        <v>737</v>
      </c>
      <c r="N856" s="21" t="s">
        <v>236</v>
      </c>
      <c r="P856" s="21" t="s">
        <v>2405</v>
      </c>
      <c r="R856" s="21" t="s">
        <v>77</v>
      </c>
      <c r="S856" s="20"/>
      <c r="T856" s="76" t="s">
        <v>2416</v>
      </c>
      <c r="V856" s="26" t="s">
        <v>79</v>
      </c>
      <c r="W856" s="25"/>
      <c r="X856" s="26" t="s">
        <v>80</v>
      </c>
      <c r="Y856" s="60"/>
      <c r="Z856" s="26" t="s">
        <v>80</v>
      </c>
      <c r="AA856" s="25"/>
      <c r="AB856" s="26" t="s">
        <v>80</v>
      </c>
      <c r="AD856" s="23" t="s">
        <v>2411</v>
      </c>
    </row>
    <row r="857" spans="2:30" ht="84.95">
      <c r="B857" s="21" t="s">
        <v>2512</v>
      </c>
      <c r="C857" s="20"/>
      <c r="D857" s="21" t="s">
        <v>702</v>
      </c>
      <c r="E857" s="20"/>
      <c r="F857" s="23" t="s">
        <v>370</v>
      </c>
      <c r="H857" s="21" t="s">
        <v>2406</v>
      </c>
      <c r="J857" s="21" t="s">
        <v>411</v>
      </c>
      <c r="L857" s="21" t="s">
        <v>737</v>
      </c>
      <c r="N857" s="21" t="s">
        <v>236</v>
      </c>
      <c r="P857" s="21" t="s">
        <v>2405</v>
      </c>
      <c r="R857" s="21" t="s">
        <v>77</v>
      </c>
      <c r="S857" s="20"/>
      <c r="T857" s="76" t="s">
        <v>2416</v>
      </c>
      <c r="V857" s="26" t="s">
        <v>79</v>
      </c>
      <c r="W857" s="25"/>
      <c r="X857" s="26" t="s">
        <v>80</v>
      </c>
      <c r="Y857" s="60"/>
      <c r="Z857" s="26" t="s">
        <v>80</v>
      </c>
      <c r="AA857" s="25"/>
      <c r="AB857" s="26" t="s">
        <v>80</v>
      </c>
      <c r="AD857" s="23" t="s">
        <v>2411</v>
      </c>
    </row>
    <row r="858" spans="2:30" ht="84.95">
      <c r="B858" s="21" t="s">
        <v>2513</v>
      </c>
      <c r="C858" s="20"/>
      <c r="D858" s="21" t="s">
        <v>702</v>
      </c>
      <c r="E858" s="20"/>
      <c r="F858" s="23" t="s">
        <v>370</v>
      </c>
      <c r="H858" s="21" t="s">
        <v>2406</v>
      </c>
      <c r="J858" s="21" t="s">
        <v>411</v>
      </c>
      <c r="L858" s="21" t="s">
        <v>737</v>
      </c>
      <c r="N858" s="21" t="s">
        <v>236</v>
      </c>
      <c r="P858" s="21" t="s">
        <v>2405</v>
      </c>
      <c r="R858" s="21" t="s">
        <v>77</v>
      </c>
      <c r="S858" s="20"/>
      <c r="T858" s="76" t="s">
        <v>2416</v>
      </c>
      <c r="V858" s="26" t="s">
        <v>79</v>
      </c>
      <c r="W858" s="25"/>
      <c r="X858" s="26" t="s">
        <v>80</v>
      </c>
      <c r="Y858" s="60"/>
      <c r="Z858" s="26" t="s">
        <v>80</v>
      </c>
      <c r="AA858" s="25"/>
      <c r="AB858" s="26" t="s">
        <v>80</v>
      </c>
      <c r="AD858" s="23" t="s">
        <v>2411</v>
      </c>
    </row>
    <row r="859" spans="2:30" ht="84.95">
      <c r="B859" s="21" t="s">
        <v>2514</v>
      </c>
      <c r="C859" s="20"/>
      <c r="D859" s="21" t="s">
        <v>702</v>
      </c>
      <c r="E859" s="20"/>
      <c r="F859" s="23" t="s">
        <v>370</v>
      </c>
      <c r="H859" s="21" t="s">
        <v>2406</v>
      </c>
      <c r="J859" s="21" t="s">
        <v>411</v>
      </c>
      <c r="L859" s="21" t="s">
        <v>737</v>
      </c>
      <c r="N859" s="21" t="s">
        <v>236</v>
      </c>
      <c r="P859" s="21" t="s">
        <v>2405</v>
      </c>
      <c r="R859" s="21" t="s">
        <v>77</v>
      </c>
      <c r="S859" s="20"/>
      <c r="T859" s="76" t="s">
        <v>2416</v>
      </c>
      <c r="V859" s="26" t="s">
        <v>79</v>
      </c>
      <c r="W859" s="25"/>
      <c r="X859" s="26" t="s">
        <v>80</v>
      </c>
      <c r="Y859" s="60"/>
      <c r="Z859" s="26" t="s">
        <v>80</v>
      </c>
      <c r="AA859" s="25"/>
      <c r="AB859" s="26" t="s">
        <v>80</v>
      </c>
      <c r="AD859" s="23" t="s">
        <v>2411</v>
      </c>
    </row>
    <row r="860" spans="2:30" ht="84.95">
      <c r="B860" s="21" t="s">
        <v>2515</v>
      </c>
      <c r="C860" s="20"/>
      <c r="D860" s="21" t="s">
        <v>702</v>
      </c>
      <c r="E860" s="20"/>
      <c r="F860" s="23" t="s">
        <v>370</v>
      </c>
      <c r="H860" s="21" t="s">
        <v>2406</v>
      </c>
      <c r="J860" s="21" t="s">
        <v>411</v>
      </c>
      <c r="L860" s="21" t="s">
        <v>737</v>
      </c>
      <c r="N860" s="21" t="s">
        <v>236</v>
      </c>
      <c r="P860" s="21" t="s">
        <v>2405</v>
      </c>
      <c r="R860" s="21" t="s">
        <v>77</v>
      </c>
      <c r="S860" s="20"/>
      <c r="T860" s="76" t="s">
        <v>2416</v>
      </c>
      <c r="V860" s="26" t="s">
        <v>79</v>
      </c>
      <c r="W860" s="25"/>
      <c r="X860" s="26" t="s">
        <v>80</v>
      </c>
      <c r="Y860" s="60"/>
      <c r="Z860" s="26" t="s">
        <v>80</v>
      </c>
      <c r="AA860" s="25"/>
      <c r="AB860" s="26" t="s">
        <v>80</v>
      </c>
      <c r="AD860" s="23" t="s">
        <v>2411</v>
      </c>
    </row>
    <row r="861" spans="2:30" ht="84.95">
      <c r="B861" s="21" t="s">
        <v>2516</v>
      </c>
      <c r="C861" s="20"/>
      <c r="D861" s="21" t="s">
        <v>702</v>
      </c>
      <c r="E861" s="20"/>
      <c r="F861" s="23" t="s">
        <v>370</v>
      </c>
      <c r="H861" s="21" t="s">
        <v>2406</v>
      </c>
      <c r="J861" s="21" t="s">
        <v>411</v>
      </c>
      <c r="L861" s="21" t="s">
        <v>737</v>
      </c>
      <c r="N861" s="21" t="s">
        <v>236</v>
      </c>
      <c r="P861" s="21" t="s">
        <v>2405</v>
      </c>
      <c r="R861" s="21" t="s">
        <v>77</v>
      </c>
      <c r="S861" s="20"/>
      <c r="T861" s="76" t="s">
        <v>2416</v>
      </c>
      <c r="V861" s="26" t="s">
        <v>79</v>
      </c>
      <c r="W861" s="25"/>
      <c r="X861" s="26" t="s">
        <v>80</v>
      </c>
      <c r="Y861" s="60"/>
      <c r="Z861" s="26" t="s">
        <v>80</v>
      </c>
      <c r="AA861" s="25"/>
      <c r="AB861" s="26" t="s">
        <v>80</v>
      </c>
      <c r="AD861" s="23" t="s">
        <v>2411</v>
      </c>
    </row>
    <row r="862" spans="2:30" ht="84.95">
      <c r="B862" s="21" t="s">
        <v>2517</v>
      </c>
      <c r="C862" s="20"/>
      <c r="D862" s="21" t="s">
        <v>702</v>
      </c>
      <c r="E862" s="20"/>
      <c r="F862" s="23" t="s">
        <v>370</v>
      </c>
      <c r="H862" s="21" t="s">
        <v>2406</v>
      </c>
      <c r="J862" s="21" t="s">
        <v>411</v>
      </c>
      <c r="L862" s="21" t="s">
        <v>737</v>
      </c>
      <c r="N862" s="21" t="s">
        <v>236</v>
      </c>
      <c r="P862" s="21" t="s">
        <v>2405</v>
      </c>
      <c r="R862" s="21" t="s">
        <v>77</v>
      </c>
      <c r="S862" s="20"/>
      <c r="T862" s="76" t="s">
        <v>2416</v>
      </c>
      <c r="V862" s="26" t="s">
        <v>79</v>
      </c>
      <c r="W862" s="25"/>
      <c r="X862" s="26" t="s">
        <v>80</v>
      </c>
      <c r="Y862" s="60"/>
      <c r="Z862" s="26" t="s">
        <v>80</v>
      </c>
      <c r="AA862" s="25"/>
      <c r="AB862" s="26" t="s">
        <v>80</v>
      </c>
      <c r="AD862" s="23" t="s">
        <v>2411</v>
      </c>
    </row>
    <row r="863" spans="2:30" ht="84.95">
      <c r="B863" s="21" t="s">
        <v>2518</v>
      </c>
      <c r="C863" s="20"/>
      <c r="D863" s="21" t="s">
        <v>702</v>
      </c>
      <c r="E863" s="20"/>
      <c r="F863" s="23" t="s">
        <v>370</v>
      </c>
      <c r="H863" s="21" t="s">
        <v>2406</v>
      </c>
      <c r="J863" s="21" t="s">
        <v>411</v>
      </c>
      <c r="L863" s="21" t="s">
        <v>737</v>
      </c>
      <c r="N863" s="21" t="s">
        <v>236</v>
      </c>
      <c r="P863" s="21" t="s">
        <v>2405</v>
      </c>
      <c r="R863" s="21" t="s">
        <v>77</v>
      </c>
      <c r="S863" s="20"/>
      <c r="T863" s="76" t="s">
        <v>2416</v>
      </c>
      <c r="V863" s="26" t="s">
        <v>79</v>
      </c>
      <c r="W863" s="25"/>
      <c r="X863" s="26" t="s">
        <v>80</v>
      </c>
      <c r="Y863" s="60"/>
      <c r="Z863" s="26" t="s">
        <v>80</v>
      </c>
      <c r="AA863" s="25"/>
      <c r="AB863" s="26" t="s">
        <v>80</v>
      </c>
      <c r="AD863" s="23" t="s">
        <v>2411</v>
      </c>
    </row>
    <row r="864" spans="2:30" ht="84.95">
      <c r="B864" s="21" t="s">
        <v>2519</v>
      </c>
      <c r="C864" s="20"/>
      <c r="D864" s="21" t="s">
        <v>702</v>
      </c>
      <c r="E864" s="20"/>
      <c r="F864" s="23" t="s">
        <v>370</v>
      </c>
      <c r="H864" s="21" t="s">
        <v>2406</v>
      </c>
      <c r="J864" s="21" t="s">
        <v>411</v>
      </c>
      <c r="L864" s="21" t="s">
        <v>737</v>
      </c>
      <c r="N864" s="21" t="s">
        <v>236</v>
      </c>
      <c r="P864" s="21" t="s">
        <v>2405</v>
      </c>
      <c r="R864" s="21" t="s">
        <v>77</v>
      </c>
      <c r="S864" s="20"/>
      <c r="T864" s="76" t="s">
        <v>2416</v>
      </c>
      <c r="V864" s="26" t="s">
        <v>79</v>
      </c>
      <c r="W864" s="25"/>
      <c r="X864" s="26" t="s">
        <v>80</v>
      </c>
      <c r="Y864" s="60"/>
      <c r="Z864" s="26" t="s">
        <v>80</v>
      </c>
      <c r="AA864" s="25"/>
      <c r="AB864" s="26" t="s">
        <v>80</v>
      </c>
      <c r="AD864" s="23" t="s">
        <v>2411</v>
      </c>
    </row>
    <row r="865" spans="2:30" ht="84.95">
      <c r="B865" s="21" t="s">
        <v>2520</v>
      </c>
      <c r="C865" s="20"/>
      <c r="D865" s="21" t="s">
        <v>702</v>
      </c>
      <c r="E865" s="20"/>
      <c r="F865" s="23" t="s">
        <v>370</v>
      </c>
      <c r="H865" s="21" t="s">
        <v>2406</v>
      </c>
      <c r="J865" s="21" t="s">
        <v>411</v>
      </c>
      <c r="L865" s="21" t="s">
        <v>737</v>
      </c>
      <c r="N865" s="21" t="s">
        <v>236</v>
      </c>
      <c r="P865" s="21" t="s">
        <v>2405</v>
      </c>
      <c r="R865" s="21" t="s">
        <v>77</v>
      </c>
      <c r="S865" s="20"/>
      <c r="T865" s="76" t="s">
        <v>2416</v>
      </c>
      <c r="V865" s="26" t="s">
        <v>79</v>
      </c>
      <c r="W865" s="25"/>
      <c r="X865" s="26" t="s">
        <v>80</v>
      </c>
      <c r="Y865" s="60"/>
      <c r="Z865" s="26" t="s">
        <v>80</v>
      </c>
      <c r="AA865" s="25"/>
      <c r="AB865" s="26" t="s">
        <v>80</v>
      </c>
      <c r="AD865" s="23" t="s">
        <v>2411</v>
      </c>
    </row>
    <row r="866" spans="2:30" ht="84.95">
      <c r="B866" s="21" t="s">
        <v>2521</v>
      </c>
      <c r="C866" s="20"/>
      <c r="D866" s="21" t="s">
        <v>702</v>
      </c>
      <c r="E866" s="20"/>
      <c r="F866" s="23" t="s">
        <v>370</v>
      </c>
      <c r="H866" s="21" t="s">
        <v>2406</v>
      </c>
      <c r="J866" s="21" t="s">
        <v>411</v>
      </c>
      <c r="L866" s="21" t="s">
        <v>737</v>
      </c>
      <c r="N866" s="21" t="s">
        <v>236</v>
      </c>
      <c r="P866" s="21" t="s">
        <v>2405</v>
      </c>
      <c r="R866" s="21" t="s">
        <v>77</v>
      </c>
      <c r="S866" s="20"/>
      <c r="T866" s="76" t="s">
        <v>2416</v>
      </c>
      <c r="V866" s="26" t="s">
        <v>79</v>
      </c>
      <c r="W866" s="25"/>
      <c r="X866" s="26" t="s">
        <v>80</v>
      </c>
      <c r="Y866" s="60"/>
      <c r="Z866" s="26" t="s">
        <v>80</v>
      </c>
      <c r="AA866" s="25"/>
      <c r="AB866" s="26" t="s">
        <v>80</v>
      </c>
      <c r="AD866" s="23" t="s">
        <v>2411</v>
      </c>
    </row>
    <row r="867" spans="2:30" ht="84.95">
      <c r="B867" s="21" t="s">
        <v>2522</v>
      </c>
      <c r="C867" s="20"/>
      <c r="D867" s="21" t="s">
        <v>702</v>
      </c>
      <c r="E867" s="20"/>
      <c r="F867" s="23" t="s">
        <v>370</v>
      </c>
      <c r="H867" s="21" t="s">
        <v>2406</v>
      </c>
      <c r="J867" s="21" t="s">
        <v>411</v>
      </c>
      <c r="L867" s="21" t="s">
        <v>737</v>
      </c>
      <c r="N867" s="21" t="s">
        <v>236</v>
      </c>
      <c r="P867" s="21" t="s">
        <v>2405</v>
      </c>
      <c r="R867" s="21" t="s">
        <v>77</v>
      </c>
      <c r="S867" s="20"/>
      <c r="T867" s="76" t="s">
        <v>2416</v>
      </c>
      <c r="V867" s="26" t="s">
        <v>79</v>
      </c>
      <c r="W867" s="25"/>
      <c r="X867" s="26" t="s">
        <v>80</v>
      </c>
      <c r="Y867" s="60"/>
      <c r="Z867" s="26" t="s">
        <v>80</v>
      </c>
      <c r="AA867" s="25"/>
      <c r="AB867" s="26" t="s">
        <v>80</v>
      </c>
      <c r="AD867" s="23" t="s">
        <v>2411</v>
      </c>
    </row>
    <row r="868" spans="2:30" ht="84.95">
      <c r="B868" s="21" t="s">
        <v>2523</v>
      </c>
      <c r="C868" s="20"/>
      <c r="D868" s="21" t="s">
        <v>2303</v>
      </c>
      <c r="E868" s="20"/>
      <c r="F868" s="23" t="s">
        <v>2303</v>
      </c>
      <c r="H868" s="21" t="s">
        <v>2406</v>
      </c>
      <c r="J868" s="21" t="s">
        <v>411</v>
      </c>
      <c r="L868" s="21" t="s">
        <v>737</v>
      </c>
      <c r="N868" s="21" t="s">
        <v>236</v>
      </c>
      <c r="P868" s="21" t="s">
        <v>2405</v>
      </c>
      <c r="R868" s="21" t="s">
        <v>77</v>
      </c>
      <c r="S868" s="20"/>
      <c r="T868" s="76" t="s">
        <v>2416</v>
      </c>
      <c r="V868" s="26" t="s">
        <v>79</v>
      </c>
      <c r="W868" s="25"/>
      <c r="X868" s="26" t="s">
        <v>80</v>
      </c>
      <c r="Y868" s="60"/>
      <c r="Z868" s="26" t="s">
        <v>80</v>
      </c>
      <c r="AA868" s="25"/>
      <c r="AB868" s="26" t="s">
        <v>80</v>
      </c>
      <c r="AD868" s="23" t="s">
        <v>2411</v>
      </c>
    </row>
    <row r="869" spans="2:30" ht="84.95">
      <c r="B869" s="21" t="s">
        <v>2524</v>
      </c>
      <c r="C869" s="20"/>
      <c r="D869" s="21" t="s">
        <v>2303</v>
      </c>
      <c r="E869" s="20"/>
      <c r="F869" s="23" t="s">
        <v>2303</v>
      </c>
      <c r="H869" s="21" t="s">
        <v>2406</v>
      </c>
      <c r="J869" s="21" t="s">
        <v>411</v>
      </c>
      <c r="L869" s="21" t="s">
        <v>737</v>
      </c>
      <c r="N869" s="21" t="s">
        <v>236</v>
      </c>
      <c r="P869" s="21" t="s">
        <v>2405</v>
      </c>
      <c r="R869" s="21" t="s">
        <v>77</v>
      </c>
      <c r="S869" s="20"/>
      <c r="T869" s="76" t="s">
        <v>2416</v>
      </c>
      <c r="V869" s="26" t="s">
        <v>79</v>
      </c>
      <c r="W869" s="25"/>
      <c r="X869" s="26" t="s">
        <v>80</v>
      </c>
      <c r="Y869" s="60"/>
      <c r="Z869" s="26" t="s">
        <v>80</v>
      </c>
      <c r="AA869" s="25"/>
      <c r="AB869" s="26" t="s">
        <v>80</v>
      </c>
      <c r="AD869" s="23" t="s">
        <v>2411</v>
      </c>
    </row>
    <row r="870" spans="2:30" ht="84.95">
      <c r="B870" s="21" t="s">
        <v>2525</v>
      </c>
      <c r="C870" s="20"/>
      <c r="D870" s="21" t="s">
        <v>2303</v>
      </c>
      <c r="E870" s="20"/>
      <c r="F870" s="23" t="s">
        <v>2303</v>
      </c>
      <c r="H870" s="21" t="s">
        <v>2406</v>
      </c>
      <c r="J870" s="21" t="s">
        <v>411</v>
      </c>
      <c r="L870" s="21" t="s">
        <v>737</v>
      </c>
      <c r="N870" s="21" t="s">
        <v>236</v>
      </c>
      <c r="P870" s="21" t="s">
        <v>2405</v>
      </c>
      <c r="R870" s="21" t="s">
        <v>77</v>
      </c>
      <c r="S870" s="20"/>
      <c r="T870" s="76" t="s">
        <v>2416</v>
      </c>
      <c r="V870" s="26" t="s">
        <v>79</v>
      </c>
      <c r="W870" s="25"/>
      <c r="X870" s="26" t="s">
        <v>80</v>
      </c>
      <c r="Y870" s="60"/>
      <c r="Z870" s="26" t="s">
        <v>80</v>
      </c>
      <c r="AA870" s="25"/>
      <c r="AB870" s="26" t="s">
        <v>80</v>
      </c>
      <c r="AD870" s="23" t="s">
        <v>2411</v>
      </c>
    </row>
    <row r="871" spans="2:30" ht="84.95">
      <c r="B871" s="21" t="s">
        <v>2526</v>
      </c>
      <c r="C871" s="20"/>
      <c r="D871" s="21" t="s">
        <v>2303</v>
      </c>
      <c r="E871" s="20"/>
      <c r="F871" s="23" t="s">
        <v>2303</v>
      </c>
      <c r="H871" s="21" t="s">
        <v>2406</v>
      </c>
      <c r="J871" s="21" t="s">
        <v>411</v>
      </c>
      <c r="L871" s="21" t="s">
        <v>737</v>
      </c>
      <c r="N871" s="21" t="s">
        <v>236</v>
      </c>
      <c r="P871" s="21" t="s">
        <v>2405</v>
      </c>
      <c r="R871" s="21" t="s">
        <v>77</v>
      </c>
      <c r="S871" s="20"/>
      <c r="T871" s="76" t="s">
        <v>2416</v>
      </c>
      <c r="V871" s="26" t="s">
        <v>79</v>
      </c>
      <c r="W871" s="25"/>
      <c r="X871" s="26" t="s">
        <v>80</v>
      </c>
      <c r="Y871" s="60"/>
      <c r="Z871" s="26" t="s">
        <v>80</v>
      </c>
      <c r="AA871" s="25"/>
      <c r="AB871" s="26" t="s">
        <v>80</v>
      </c>
      <c r="AD871" s="23" t="s">
        <v>2411</v>
      </c>
    </row>
    <row r="872" spans="2:30" ht="84.95">
      <c r="B872" s="21" t="s">
        <v>2527</v>
      </c>
      <c r="C872" s="20"/>
      <c r="D872" s="21" t="s">
        <v>2303</v>
      </c>
      <c r="E872" s="20"/>
      <c r="F872" s="23" t="s">
        <v>2303</v>
      </c>
      <c r="H872" s="21" t="s">
        <v>2406</v>
      </c>
      <c r="J872" s="21" t="s">
        <v>411</v>
      </c>
      <c r="L872" s="21" t="s">
        <v>737</v>
      </c>
      <c r="N872" s="21" t="s">
        <v>236</v>
      </c>
      <c r="P872" s="21" t="s">
        <v>2405</v>
      </c>
      <c r="R872" s="21" t="s">
        <v>77</v>
      </c>
      <c r="S872" s="20"/>
      <c r="T872" s="76" t="s">
        <v>2416</v>
      </c>
      <c r="V872" s="26" t="s">
        <v>79</v>
      </c>
      <c r="W872" s="25"/>
      <c r="X872" s="26" t="s">
        <v>80</v>
      </c>
      <c r="Y872" s="60"/>
      <c r="Z872" s="26" t="s">
        <v>80</v>
      </c>
      <c r="AA872" s="25"/>
      <c r="AB872" s="26" t="s">
        <v>80</v>
      </c>
      <c r="AD872" s="23" t="s">
        <v>2411</v>
      </c>
    </row>
    <row r="873" spans="2:30" ht="84.95">
      <c r="B873" s="21" t="s">
        <v>2528</v>
      </c>
      <c r="C873" s="20"/>
      <c r="D873" s="21" t="s">
        <v>2303</v>
      </c>
      <c r="E873" s="20"/>
      <c r="F873" s="23" t="s">
        <v>2303</v>
      </c>
      <c r="H873" s="21" t="s">
        <v>2406</v>
      </c>
      <c r="J873" s="21" t="s">
        <v>411</v>
      </c>
      <c r="L873" s="21" t="s">
        <v>737</v>
      </c>
      <c r="N873" s="21" t="s">
        <v>236</v>
      </c>
      <c r="P873" s="21" t="s">
        <v>2405</v>
      </c>
      <c r="R873" s="21" t="s">
        <v>77</v>
      </c>
      <c r="S873" s="20"/>
      <c r="T873" s="76" t="s">
        <v>2416</v>
      </c>
      <c r="V873" s="26" t="s">
        <v>79</v>
      </c>
      <c r="W873" s="25"/>
      <c r="X873" s="26" t="s">
        <v>80</v>
      </c>
      <c r="Y873" s="60"/>
      <c r="Z873" s="26" t="s">
        <v>80</v>
      </c>
      <c r="AA873" s="25"/>
      <c r="AB873" s="26" t="s">
        <v>80</v>
      </c>
      <c r="AD873" s="23" t="s">
        <v>2411</v>
      </c>
    </row>
    <row r="874" spans="2:30" ht="84.95">
      <c r="B874" s="21" t="s">
        <v>2529</v>
      </c>
      <c r="C874" s="20"/>
      <c r="D874" s="21" t="s">
        <v>2303</v>
      </c>
      <c r="E874" s="20"/>
      <c r="F874" s="23" t="s">
        <v>2303</v>
      </c>
      <c r="H874" s="21" t="s">
        <v>2406</v>
      </c>
      <c r="J874" s="21" t="s">
        <v>411</v>
      </c>
      <c r="L874" s="21" t="s">
        <v>737</v>
      </c>
      <c r="N874" s="21" t="s">
        <v>236</v>
      </c>
      <c r="P874" s="21" t="s">
        <v>2405</v>
      </c>
      <c r="R874" s="21" t="s">
        <v>77</v>
      </c>
      <c r="S874" s="20"/>
      <c r="T874" s="76" t="s">
        <v>2416</v>
      </c>
      <c r="V874" s="26" t="s">
        <v>79</v>
      </c>
      <c r="W874" s="25"/>
      <c r="X874" s="26" t="s">
        <v>80</v>
      </c>
      <c r="Y874" s="60"/>
      <c r="Z874" s="26" t="s">
        <v>80</v>
      </c>
      <c r="AA874" s="25"/>
      <c r="AB874" s="26" t="s">
        <v>80</v>
      </c>
      <c r="AD874" s="23" t="s">
        <v>2411</v>
      </c>
    </row>
    <row r="875" spans="2:30" ht="84.95">
      <c r="B875" s="21" t="s">
        <v>2530</v>
      </c>
      <c r="C875" s="20"/>
      <c r="D875" s="21" t="s">
        <v>2303</v>
      </c>
      <c r="E875" s="20"/>
      <c r="F875" s="23" t="s">
        <v>2303</v>
      </c>
      <c r="H875" s="21" t="s">
        <v>2406</v>
      </c>
      <c r="J875" s="21" t="s">
        <v>411</v>
      </c>
      <c r="L875" s="21" t="s">
        <v>737</v>
      </c>
      <c r="N875" s="21" t="s">
        <v>236</v>
      </c>
      <c r="P875" s="21" t="s">
        <v>2405</v>
      </c>
      <c r="R875" s="21" t="s">
        <v>77</v>
      </c>
      <c r="S875" s="20"/>
      <c r="T875" s="76" t="s">
        <v>2416</v>
      </c>
      <c r="V875" s="26" t="s">
        <v>79</v>
      </c>
      <c r="W875" s="25"/>
      <c r="X875" s="26" t="s">
        <v>80</v>
      </c>
      <c r="Y875" s="60"/>
      <c r="Z875" s="26" t="s">
        <v>80</v>
      </c>
      <c r="AA875" s="25"/>
      <c r="AB875" s="26" t="s">
        <v>80</v>
      </c>
      <c r="AD875" s="23" t="s">
        <v>2411</v>
      </c>
    </row>
    <row r="876" spans="2:30" ht="84.95">
      <c r="B876" s="21" t="s">
        <v>2531</v>
      </c>
      <c r="C876" s="20"/>
      <c r="D876" s="21" t="s">
        <v>2303</v>
      </c>
      <c r="E876" s="20"/>
      <c r="F876" s="23" t="s">
        <v>2303</v>
      </c>
      <c r="H876" s="21" t="s">
        <v>2406</v>
      </c>
      <c r="J876" s="21" t="s">
        <v>411</v>
      </c>
      <c r="L876" s="21" t="s">
        <v>737</v>
      </c>
      <c r="N876" s="21" t="s">
        <v>236</v>
      </c>
      <c r="P876" s="21" t="s">
        <v>2405</v>
      </c>
      <c r="R876" s="21" t="s">
        <v>77</v>
      </c>
      <c r="S876" s="20"/>
      <c r="T876" s="76" t="s">
        <v>2416</v>
      </c>
      <c r="V876" s="26" t="s">
        <v>79</v>
      </c>
      <c r="W876" s="25"/>
      <c r="X876" s="26" t="s">
        <v>80</v>
      </c>
      <c r="Y876" s="60"/>
      <c r="Z876" s="26" t="s">
        <v>80</v>
      </c>
      <c r="AA876" s="25"/>
      <c r="AB876" s="26" t="s">
        <v>80</v>
      </c>
      <c r="AD876" s="23" t="s">
        <v>2411</v>
      </c>
    </row>
    <row r="877" spans="2:30" ht="84.95">
      <c r="B877" s="21" t="s">
        <v>2532</v>
      </c>
      <c r="C877" s="20"/>
      <c r="D877" s="21" t="s">
        <v>2303</v>
      </c>
      <c r="E877" s="20"/>
      <c r="F877" s="23" t="s">
        <v>2303</v>
      </c>
      <c r="H877" s="21" t="s">
        <v>2406</v>
      </c>
      <c r="J877" s="21" t="s">
        <v>411</v>
      </c>
      <c r="L877" s="21" t="s">
        <v>737</v>
      </c>
      <c r="N877" s="21" t="s">
        <v>236</v>
      </c>
      <c r="P877" s="21" t="s">
        <v>2405</v>
      </c>
      <c r="R877" s="21" t="s">
        <v>77</v>
      </c>
      <c r="S877" s="20"/>
      <c r="T877" s="76" t="s">
        <v>2416</v>
      </c>
      <c r="V877" s="26" t="s">
        <v>79</v>
      </c>
      <c r="W877" s="25"/>
      <c r="X877" s="26" t="s">
        <v>80</v>
      </c>
      <c r="Y877" s="60"/>
      <c r="Z877" s="26" t="s">
        <v>80</v>
      </c>
      <c r="AA877" s="25"/>
      <c r="AB877" s="26" t="s">
        <v>80</v>
      </c>
      <c r="AD877" s="23" t="s">
        <v>2411</v>
      </c>
    </row>
    <row r="878" spans="2:30" ht="84.95">
      <c r="B878" s="21" t="s">
        <v>2533</v>
      </c>
      <c r="C878" s="20"/>
      <c r="D878" s="21" t="s">
        <v>2303</v>
      </c>
      <c r="E878" s="20"/>
      <c r="F878" s="23" t="s">
        <v>2303</v>
      </c>
      <c r="H878" s="21" t="s">
        <v>2406</v>
      </c>
      <c r="J878" s="21" t="s">
        <v>411</v>
      </c>
      <c r="L878" s="21" t="s">
        <v>737</v>
      </c>
      <c r="N878" s="21" t="s">
        <v>236</v>
      </c>
      <c r="P878" s="21" t="s">
        <v>2405</v>
      </c>
      <c r="R878" s="21" t="s">
        <v>77</v>
      </c>
      <c r="S878" s="20"/>
      <c r="T878" s="76" t="s">
        <v>2416</v>
      </c>
      <c r="V878" s="26" t="s">
        <v>79</v>
      </c>
      <c r="W878" s="25"/>
      <c r="X878" s="26" t="s">
        <v>80</v>
      </c>
      <c r="Y878" s="60"/>
      <c r="Z878" s="26" t="s">
        <v>80</v>
      </c>
      <c r="AA878" s="25"/>
      <c r="AB878" s="26" t="s">
        <v>80</v>
      </c>
      <c r="AD878" s="23" t="s">
        <v>2411</v>
      </c>
    </row>
    <row r="879" spans="2:30" ht="84.95">
      <c r="B879" s="21" t="s">
        <v>2534</v>
      </c>
      <c r="C879" s="20"/>
      <c r="D879" s="21" t="s">
        <v>2303</v>
      </c>
      <c r="E879" s="20"/>
      <c r="F879" s="23" t="s">
        <v>2303</v>
      </c>
      <c r="H879" s="21" t="s">
        <v>2406</v>
      </c>
      <c r="J879" s="21" t="s">
        <v>411</v>
      </c>
      <c r="L879" s="21" t="s">
        <v>737</v>
      </c>
      <c r="N879" s="21" t="s">
        <v>236</v>
      </c>
      <c r="P879" s="21" t="s">
        <v>2405</v>
      </c>
      <c r="R879" s="21" t="s">
        <v>77</v>
      </c>
      <c r="S879" s="20"/>
      <c r="T879" s="76" t="s">
        <v>2416</v>
      </c>
      <c r="V879" s="26" t="s">
        <v>79</v>
      </c>
      <c r="W879" s="25"/>
      <c r="X879" s="26" t="s">
        <v>80</v>
      </c>
      <c r="Y879" s="60"/>
      <c r="Z879" s="26" t="s">
        <v>80</v>
      </c>
      <c r="AA879" s="25"/>
      <c r="AB879" s="26" t="s">
        <v>80</v>
      </c>
      <c r="AD879" s="23" t="s">
        <v>2411</v>
      </c>
    </row>
    <row r="880" spans="2:30" ht="84.95">
      <c r="B880" s="21" t="s">
        <v>2535</v>
      </c>
      <c r="C880" s="20"/>
      <c r="D880" s="21" t="s">
        <v>2303</v>
      </c>
      <c r="E880" s="20"/>
      <c r="F880" s="23" t="s">
        <v>2303</v>
      </c>
      <c r="H880" s="21" t="s">
        <v>2406</v>
      </c>
      <c r="J880" s="21" t="s">
        <v>411</v>
      </c>
      <c r="L880" s="21" t="s">
        <v>737</v>
      </c>
      <c r="N880" s="21" t="s">
        <v>236</v>
      </c>
      <c r="P880" s="21" t="s">
        <v>2405</v>
      </c>
      <c r="R880" s="21" t="s">
        <v>77</v>
      </c>
      <c r="S880" s="20"/>
      <c r="T880" s="76" t="s">
        <v>2416</v>
      </c>
      <c r="V880" s="26" t="s">
        <v>79</v>
      </c>
      <c r="W880" s="25"/>
      <c r="X880" s="26" t="s">
        <v>80</v>
      </c>
      <c r="Y880" s="60"/>
      <c r="Z880" s="26" t="s">
        <v>80</v>
      </c>
      <c r="AA880" s="25"/>
      <c r="AB880" s="26" t="s">
        <v>80</v>
      </c>
      <c r="AD880" s="23" t="s">
        <v>2411</v>
      </c>
    </row>
    <row r="881" spans="2:30" ht="84.95">
      <c r="B881" s="21" t="s">
        <v>2536</v>
      </c>
      <c r="C881" s="20"/>
      <c r="D881" s="21" t="s">
        <v>2537</v>
      </c>
      <c r="E881" s="20"/>
      <c r="F881" s="23" t="s">
        <v>71</v>
      </c>
      <c r="H881" s="21" t="s">
        <v>2406</v>
      </c>
      <c r="J881" s="21" t="s">
        <v>411</v>
      </c>
      <c r="L881" s="21" t="s">
        <v>737</v>
      </c>
      <c r="N881" s="21" t="s">
        <v>236</v>
      </c>
      <c r="P881" s="21" t="s">
        <v>2405</v>
      </c>
      <c r="R881" s="21" t="s">
        <v>77</v>
      </c>
      <c r="S881" s="20"/>
      <c r="T881" s="76" t="s">
        <v>2416</v>
      </c>
      <c r="V881" s="26" t="s">
        <v>79</v>
      </c>
      <c r="W881" s="25"/>
      <c r="X881" s="26" t="s">
        <v>80</v>
      </c>
      <c r="Y881" s="60"/>
      <c r="Z881" s="26" t="s">
        <v>80</v>
      </c>
      <c r="AA881" s="25"/>
      <c r="AB881" s="26" t="s">
        <v>80</v>
      </c>
      <c r="AD881" s="23" t="s">
        <v>2411</v>
      </c>
    </row>
    <row r="882" spans="2:30" ht="84.95">
      <c r="B882" s="21" t="s">
        <v>2538</v>
      </c>
      <c r="C882" s="20"/>
      <c r="D882" s="21" t="s">
        <v>2539</v>
      </c>
      <c r="E882" s="20"/>
      <c r="F882" s="23" t="s">
        <v>71</v>
      </c>
      <c r="H882" s="21" t="s">
        <v>2406</v>
      </c>
      <c r="J882" s="21" t="s">
        <v>411</v>
      </c>
      <c r="L882" s="21" t="s">
        <v>737</v>
      </c>
      <c r="N882" s="21" t="s">
        <v>236</v>
      </c>
      <c r="P882" s="21" t="s">
        <v>2405</v>
      </c>
      <c r="R882" s="21" t="s">
        <v>77</v>
      </c>
      <c r="S882" s="20"/>
      <c r="T882" s="76" t="s">
        <v>2416</v>
      </c>
      <c r="V882" s="26" t="s">
        <v>79</v>
      </c>
      <c r="W882" s="25"/>
      <c r="X882" s="26" t="s">
        <v>80</v>
      </c>
      <c r="Y882" s="60"/>
      <c r="Z882" s="26" t="s">
        <v>80</v>
      </c>
      <c r="AA882" s="25"/>
      <c r="AB882" s="26" t="s">
        <v>80</v>
      </c>
      <c r="AD882" s="23" t="s">
        <v>2411</v>
      </c>
    </row>
    <row r="883" spans="2:30" ht="84.95">
      <c r="B883" s="21" t="s">
        <v>2540</v>
      </c>
      <c r="C883" s="20"/>
      <c r="D883" s="21" t="s">
        <v>2537</v>
      </c>
      <c r="E883" s="20"/>
      <c r="F883" s="23" t="s">
        <v>71</v>
      </c>
      <c r="H883" s="21" t="s">
        <v>2406</v>
      </c>
      <c r="J883" s="21" t="s">
        <v>411</v>
      </c>
      <c r="L883" s="21" t="s">
        <v>737</v>
      </c>
      <c r="N883" s="21" t="s">
        <v>236</v>
      </c>
      <c r="P883" s="21" t="s">
        <v>2405</v>
      </c>
      <c r="R883" s="21" t="s">
        <v>77</v>
      </c>
      <c r="S883" s="20"/>
      <c r="T883" s="76" t="s">
        <v>2416</v>
      </c>
      <c r="V883" s="26" t="s">
        <v>79</v>
      </c>
      <c r="W883" s="25"/>
      <c r="X883" s="26" t="s">
        <v>80</v>
      </c>
      <c r="Y883" s="60"/>
      <c r="Z883" s="26" t="s">
        <v>80</v>
      </c>
      <c r="AA883" s="25"/>
      <c r="AB883" s="26" t="s">
        <v>80</v>
      </c>
      <c r="AD883" s="23" t="s">
        <v>2411</v>
      </c>
    </row>
    <row r="884" spans="2:30" ht="84.95">
      <c r="B884" s="21" t="s">
        <v>2541</v>
      </c>
      <c r="C884" s="20"/>
      <c r="D884" s="21" t="s">
        <v>2542</v>
      </c>
      <c r="E884" s="20"/>
      <c r="F884" s="23" t="s">
        <v>71</v>
      </c>
      <c r="H884" s="21" t="s">
        <v>2406</v>
      </c>
      <c r="J884" s="21" t="s">
        <v>411</v>
      </c>
      <c r="L884" s="21" t="s">
        <v>737</v>
      </c>
      <c r="N884" s="21" t="s">
        <v>236</v>
      </c>
      <c r="P884" s="21" t="s">
        <v>2405</v>
      </c>
      <c r="R884" s="21" t="s">
        <v>77</v>
      </c>
      <c r="S884" s="20"/>
      <c r="T884" s="76" t="s">
        <v>2416</v>
      </c>
      <c r="V884" s="26" t="s">
        <v>79</v>
      </c>
      <c r="W884" s="25"/>
      <c r="X884" s="26" t="s">
        <v>80</v>
      </c>
      <c r="Y884" s="60"/>
      <c r="Z884" s="26" t="s">
        <v>80</v>
      </c>
      <c r="AA884" s="25"/>
      <c r="AB884" s="26" t="s">
        <v>80</v>
      </c>
      <c r="AD884" s="23" t="s">
        <v>2411</v>
      </c>
    </row>
    <row r="885" spans="2:30" ht="84.95">
      <c r="B885" s="21" t="s">
        <v>2543</v>
      </c>
      <c r="C885" s="20"/>
      <c r="D885" s="21" t="s">
        <v>2544</v>
      </c>
      <c r="E885" s="20"/>
      <c r="F885" s="23" t="s">
        <v>71</v>
      </c>
      <c r="H885" s="21" t="s">
        <v>2406</v>
      </c>
      <c r="J885" s="21" t="s">
        <v>411</v>
      </c>
      <c r="L885" s="21" t="s">
        <v>737</v>
      </c>
      <c r="N885" s="21" t="s">
        <v>236</v>
      </c>
      <c r="P885" s="21" t="s">
        <v>2405</v>
      </c>
      <c r="R885" s="21" t="s">
        <v>77</v>
      </c>
      <c r="S885" s="20"/>
      <c r="T885" s="76" t="s">
        <v>2416</v>
      </c>
      <c r="V885" s="26" t="s">
        <v>79</v>
      </c>
      <c r="W885" s="25"/>
      <c r="X885" s="26" t="s">
        <v>80</v>
      </c>
      <c r="Y885" s="60"/>
      <c r="Z885" s="26" t="s">
        <v>80</v>
      </c>
      <c r="AA885" s="25"/>
      <c r="AB885" s="26" t="s">
        <v>80</v>
      </c>
      <c r="AD885" s="23" t="s">
        <v>2411</v>
      </c>
    </row>
    <row r="886" spans="2:30" ht="84.95">
      <c r="B886" s="21" t="s">
        <v>2545</v>
      </c>
      <c r="C886" s="20"/>
      <c r="D886" s="21" t="s">
        <v>2546</v>
      </c>
      <c r="E886" s="20"/>
      <c r="F886" s="23" t="s">
        <v>71</v>
      </c>
      <c r="H886" s="21" t="s">
        <v>2406</v>
      </c>
      <c r="J886" s="21" t="s">
        <v>411</v>
      </c>
      <c r="L886" s="21" t="s">
        <v>737</v>
      </c>
      <c r="N886" s="21" t="s">
        <v>236</v>
      </c>
      <c r="P886" s="21" t="s">
        <v>2405</v>
      </c>
      <c r="R886" s="21" t="s">
        <v>77</v>
      </c>
      <c r="S886" s="20"/>
      <c r="T886" s="76" t="s">
        <v>2416</v>
      </c>
      <c r="V886" s="26" t="s">
        <v>79</v>
      </c>
      <c r="W886" s="25"/>
      <c r="X886" s="26" t="s">
        <v>80</v>
      </c>
      <c r="Y886" s="60"/>
      <c r="Z886" s="26" t="s">
        <v>80</v>
      </c>
      <c r="AA886" s="25"/>
      <c r="AB886" s="26" t="s">
        <v>80</v>
      </c>
      <c r="AD886" s="23" t="s">
        <v>2411</v>
      </c>
    </row>
    <row r="887" spans="2:30" ht="84.95">
      <c r="B887" s="21" t="s">
        <v>2547</v>
      </c>
      <c r="C887" s="20"/>
      <c r="D887" s="21" t="s">
        <v>2548</v>
      </c>
      <c r="E887" s="20"/>
      <c r="F887" s="23" t="s">
        <v>71</v>
      </c>
      <c r="H887" s="21" t="s">
        <v>2406</v>
      </c>
      <c r="J887" s="21" t="s">
        <v>411</v>
      </c>
      <c r="L887" s="21" t="s">
        <v>737</v>
      </c>
      <c r="N887" s="21" t="s">
        <v>236</v>
      </c>
      <c r="P887" s="21" t="s">
        <v>2405</v>
      </c>
      <c r="R887" s="21" t="s">
        <v>77</v>
      </c>
      <c r="S887" s="20"/>
      <c r="T887" s="76" t="s">
        <v>2416</v>
      </c>
      <c r="V887" s="26" t="s">
        <v>79</v>
      </c>
      <c r="W887" s="25"/>
      <c r="X887" s="26" t="s">
        <v>80</v>
      </c>
      <c r="Y887" s="60"/>
      <c r="Z887" s="26" t="s">
        <v>80</v>
      </c>
      <c r="AA887" s="25"/>
      <c r="AB887" s="26" t="s">
        <v>80</v>
      </c>
      <c r="AD887" s="23" t="s">
        <v>2411</v>
      </c>
    </row>
    <row r="888" spans="2:30" ht="84.95">
      <c r="B888" s="21" t="s">
        <v>2549</v>
      </c>
      <c r="C888" s="20"/>
      <c r="D888" s="21" t="s">
        <v>2550</v>
      </c>
      <c r="E888" s="20"/>
      <c r="F888" s="23" t="s">
        <v>71</v>
      </c>
      <c r="H888" s="21" t="s">
        <v>2406</v>
      </c>
      <c r="J888" s="21" t="s">
        <v>411</v>
      </c>
      <c r="L888" s="21" t="s">
        <v>737</v>
      </c>
      <c r="N888" s="21" t="s">
        <v>236</v>
      </c>
      <c r="P888" s="21" t="s">
        <v>2405</v>
      </c>
      <c r="R888" s="21" t="s">
        <v>77</v>
      </c>
      <c r="S888" s="20"/>
      <c r="T888" s="76" t="s">
        <v>2416</v>
      </c>
      <c r="V888" s="26" t="s">
        <v>79</v>
      </c>
      <c r="W888" s="25"/>
      <c r="X888" s="26" t="s">
        <v>80</v>
      </c>
      <c r="Y888" s="60"/>
      <c r="Z888" s="26" t="s">
        <v>80</v>
      </c>
      <c r="AA888" s="25"/>
      <c r="AB888" s="26" t="s">
        <v>80</v>
      </c>
      <c r="AD888" s="23" t="s">
        <v>2411</v>
      </c>
    </row>
    <row r="889" spans="2:30" ht="84.95">
      <c r="B889" s="21" t="s">
        <v>2551</v>
      </c>
      <c r="C889" s="20"/>
      <c r="D889" s="21" t="s">
        <v>2552</v>
      </c>
      <c r="E889" s="20"/>
      <c r="F889" s="23" t="s">
        <v>71</v>
      </c>
      <c r="H889" s="21" t="s">
        <v>2406</v>
      </c>
      <c r="J889" s="21" t="s">
        <v>411</v>
      </c>
      <c r="L889" s="21" t="s">
        <v>737</v>
      </c>
      <c r="N889" s="21" t="s">
        <v>236</v>
      </c>
      <c r="P889" s="21" t="s">
        <v>2405</v>
      </c>
      <c r="R889" s="21" t="s">
        <v>77</v>
      </c>
      <c r="S889" s="20"/>
      <c r="T889" s="76" t="s">
        <v>2416</v>
      </c>
      <c r="V889" s="26" t="s">
        <v>79</v>
      </c>
      <c r="W889" s="25"/>
      <c r="X889" s="26" t="s">
        <v>80</v>
      </c>
      <c r="Y889" s="60"/>
      <c r="Z889" s="26" t="s">
        <v>80</v>
      </c>
      <c r="AA889" s="25"/>
      <c r="AB889" s="26" t="s">
        <v>80</v>
      </c>
      <c r="AD889" s="23" t="s">
        <v>2411</v>
      </c>
    </row>
    <row r="890" spans="2:30" ht="84.95">
      <c r="B890" s="21" t="s">
        <v>2553</v>
      </c>
      <c r="C890" s="20"/>
      <c r="D890" s="21" t="s">
        <v>2554</v>
      </c>
      <c r="E890" s="20"/>
      <c r="F890" s="23" t="s">
        <v>71</v>
      </c>
      <c r="H890" s="21" t="s">
        <v>2406</v>
      </c>
      <c r="J890" s="21" t="s">
        <v>411</v>
      </c>
      <c r="L890" s="21" t="s">
        <v>737</v>
      </c>
      <c r="N890" s="21" t="s">
        <v>236</v>
      </c>
      <c r="P890" s="21" t="s">
        <v>2405</v>
      </c>
      <c r="R890" s="21" t="s">
        <v>77</v>
      </c>
      <c r="S890" s="20"/>
      <c r="T890" s="76" t="s">
        <v>2416</v>
      </c>
      <c r="V890" s="26" t="s">
        <v>79</v>
      </c>
      <c r="W890" s="25"/>
      <c r="X890" s="26" t="s">
        <v>80</v>
      </c>
      <c r="Y890" s="60"/>
      <c r="Z890" s="26" t="s">
        <v>80</v>
      </c>
      <c r="AA890" s="25"/>
      <c r="AB890" s="26" t="s">
        <v>80</v>
      </c>
      <c r="AD890" s="23" t="s">
        <v>2411</v>
      </c>
    </row>
    <row r="891" spans="2:30" ht="84.95">
      <c r="B891" s="21" t="s">
        <v>2555</v>
      </c>
      <c r="C891" s="20"/>
      <c r="D891" s="21" t="s">
        <v>2542</v>
      </c>
      <c r="E891" s="20"/>
      <c r="F891" s="23" t="s">
        <v>71</v>
      </c>
      <c r="H891" s="21" t="s">
        <v>2406</v>
      </c>
      <c r="J891" s="21" t="s">
        <v>411</v>
      </c>
      <c r="L891" s="21" t="s">
        <v>737</v>
      </c>
      <c r="N891" s="21" t="s">
        <v>236</v>
      </c>
      <c r="P891" s="21" t="s">
        <v>2405</v>
      </c>
      <c r="R891" s="21" t="s">
        <v>77</v>
      </c>
      <c r="S891" s="20"/>
      <c r="T891" s="76" t="s">
        <v>2416</v>
      </c>
      <c r="V891" s="26" t="s">
        <v>79</v>
      </c>
      <c r="W891" s="25"/>
      <c r="X891" s="26" t="s">
        <v>80</v>
      </c>
      <c r="Y891" s="60"/>
      <c r="Z891" s="26" t="s">
        <v>80</v>
      </c>
      <c r="AA891" s="25"/>
      <c r="AB891" s="26" t="s">
        <v>80</v>
      </c>
      <c r="AD891" s="23" t="s">
        <v>2411</v>
      </c>
    </row>
    <row r="892" spans="2:30" ht="84.95">
      <c r="B892" s="21" t="s">
        <v>2556</v>
      </c>
      <c r="C892" s="20"/>
      <c r="D892" s="21" t="s">
        <v>2542</v>
      </c>
      <c r="E892" s="20"/>
      <c r="F892" s="23" t="s">
        <v>71</v>
      </c>
      <c r="H892" s="21" t="s">
        <v>2406</v>
      </c>
      <c r="J892" s="21" t="s">
        <v>411</v>
      </c>
      <c r="L892" s="21" t="s">
        <v>737</v>
      </c>
      <c r="N892" s="21" t="s">
        <v>236</v>
      </c>
      <c r="P892" s="21" t="s">
        <v>2405</v>
      </c>
      <c r="R892" s="21" t="s">
        <v>77</v>
      </c>
      <c r="S892" s="20"/>
      <c r="T892" s="76" t="s">
        <v>2416</v>
      </c>
      <c r="V892" s="26" t="s">
        <v>79</v>
      </c>
      <c r="W892" s="25"/>
      <c r="X892" s="26" t="s">
        <v>80</v>
      </c>
      <c r="Y892" s="60"/>
      <c r="Z892" s="26" t="s">
        <v>80</v>
      </c>
      <c r="AA892" s="25"/>
      <c r="AB892" s="26" t="s">
        <v>80</v>
      </c>
      <c r="AD892" s="23" t="s">
        <v>2411</v>
      </c>
    </row>
    <row r="893" spans="2:30" ht="84.95">
      <c r="B893" s="21" t="s">
        <v>2557</v>
      </c>
      <c r="C893" s="20"/>
      <c r="D893" s="21" t="s">
        <v>2554</v>
      </c>
      <c r="E893" s="20"/>
      <c r="F893" s="23" t="s">
        <v>71</v>
      </c>
      <c r="H893" s="21" t="s">
        <v>2406</v>
      </c>
      <c r="J893" s="21" t="s">
        <v>411</v>
      </c>
      <c r="L893" s="21" t="s">
        <v>737</v>
      </c>
      <c r="N893" s="21" t="s">
        <v>236</v>
      </c>
      <c r="P893" s="21" t="s">
        <v>2405</v>
      </c>
      <c r="R893" s="21" t="s">
        <v>77</v>
      </c>
      <c r="S893" s="20"/>
      <c r="T893" s="76" t="s">
        <v>2416</v>
      </c>
      <c r="V893" s="26" t="s">
        <v>79</v>
      </c>
      <c r="W893" s="25"/>
      <c r="X893" s="26" t="s">
        <v>80</v>
      </c>
      <c r="Y893" s="60"/>
      <c r="Z893" s="26" t="s">
        <v>80</v>
      </c>
      <c r="AA893" s="25"/>
      <c r="AB893" s="26" t="s">
        <v>80</v>
      </c>
      <c r="AD893" s="23" t="s">
        <v>2411</v>
      </c>
    </row>
    <row r="894" spans="2:30" ht="84.95">
      <c r="B894" s="21" t="s">
        <v>2558</v>
      </c>
      <c r="C894" s="20"/>
      <c r="D894" s="21" t="s">
        <v>2559</v>
      </c>
      <c r="E894" s="20"/>
      <c r="F894" s="23" t="s">
        <v>71</v>
      </c>
      <c r="H894" s="21" t="s">
        <v>2406</v>
      </c>
      <c r="J894" s="21" t="s">
        <v>411</v>
      </c>
      <c r="L894" s="21" t="s">
        <v>737</v>
      </c>
      <c r="N894" s="21" t="s">
        <v>236</v>
      </c>
      <c r="P894" s="21" t="s">
        <v>2405</v>
      </c>
      <c r="R894" s="21" t="s">
        <v>77</v>
      </c>
      <c r="S894" s="20"/>
      <c r="T894" s="76" t="s">
        <v>2416</v>
      </c>
      <c r="V894" s="26" t="s">
        <v>79</v>
      </c>
      <c r="W894" s="25"/>
      <c r="X894" s="26" t="s">
        <v>80</v>
      </c>
      <c r="Y894" s="60"/>
      <c r="Z894" s="26" t="s">
        <v>80</v>
      </c>
      <c r="AA894" s="25"/>
      <c r="AB894" s="26" t="s">
        <v>80</v>
      </c>
      <c r="AD894" s="23" t="s">
        <v>2411</v>
      </c>
    </row>
    <row r="895" spans="2:30" ht="84.95">
      <c r="B895" s="21" t="s">
        <v>2560</v>
      </c>
      <c r="C895" s="20"/>
      <c r="D895" s="21" t="s">
        <v>2554</v>
      </c>
      <c r="E895" s="20"/>
      <c r="F895" s="23" t="s">
        <v>71</v>
      </c>
      <c r="H895" s="21" t="s">
        <v>2406</v>
      </c>
      <c r="J895" s="21" t="s">
        <v>411</v>
      </c>
      <c r="L895" s="21" t="s">
        <v>737</v>
      </c>
      <c r="N895" s="21" t="s">
        <v>236</v>
      </c>
      <c r="P895" s="21" t="s">
        <v>2405</v>
      </c>
      <c r="R895" s="21" t="s">
        <v>77</v>
      </c>
      <c r="S895" s="20"/>
      <c r="T895" s="76" t="s">
        <v>2416</v>
      </c>
      <c r="V895" s="26" t="s">
        <v>79</v>
      </c>
      <c r="W895" s="25"/>
      <c r="X895" s="26" t="s">
        <v>80</v>
      </c>
      <c r="Y895" s="60"/>
      <c r="Z895" s="26" t="s">
        <v>80</v>
      </c>
      <c r="AA895" s="25"/>
      <c r="AB895" s="26" t="s">
        <v>80</v>
      </c>
      <c r="AD895" s="23" t="s">
        <v>2411</v>
      </c>
    </row>
    <row r="896" spans="2:30" ht="84.95">
      <c r="B896" s="21" t="s">
        <v>2561</v>
      </c>
      <c r="C896" s="20"/>
      <c r="D896" s="21" t="s">
        <v>2554</v>
      </c>
      <c r="E896" s="20"/>
      <c r="F896" s="23" t="s">
        <v>71</v>
      </c>
      <c r="H896" s="21" t="s">
        <v>2406</v>
      </c>
      <c r="J896" s="21" t="s">
        <v>411</v>
      </c>
      <c r="L896" s="21" t="s">
        <v>737</v>
      </c>
      <c r="N896" s="21" t="s">
        <v>236</v>
      </c>
      <c r="P896" s="21" t="s">
        <v>2405</v>
      </c>
      <c r="R896" s="21" t="s">
        <v>77</v>
      </c>
      <c r="S896" s="20"/>
      <c r="T896" s="76" t="s">
        <v>2416</v>
      </c>
      <c r="V896" s="26" t="s">
        <v>79</v>
      </c>
      <c r="W896" s="25"/>
      <c r="X896" s="26" t="s">
        <v>80</v>
      </c>
      <c r="Y896" s="60"/>
      <c r="Z896" s="26" t="s">
        <v>80</v>
      </c>
      <c r="AA896" s="25"/>
      <c r="AB896" s="26" t="s">
        <v>80</v>
      </c>
      <c r="AD896" s="23" t="s">
        <v>2411</v>
      </c>
    </row>
    <row r="897" spans="2:30" ht="84.95">
      <c r="B897" s="21" t="s">
        <v>2562</v>
      </c>
      <c r="C897" s="20"/>
      <c r="D897" s="21" t="s">
        <v>2563</v>
      </c>
      <c r="E897" s="20"/>
      <c r="F897" s="23" t="s">
        <v>71</v>
      </c>
      <c r="H897" s="21" t="s">
        <v>2406</v>
      </c>
      <c r="J897" s="21" t="s">
        <v>411</v>
      </c>
      <c r="L897" s="21" t="s">
        <v>737</v>
      </c>
      <c r="N897" s="21" t="s">
        <v>236</v>
      </c>
      <c r="P897" s="21" t="s">
        <v>2405</v>
      </c>
      <c r="R897" s="21" t="s">
        <v>77</v>
      </c>
      <c r="S897" s="20"/>
      <c r="T897" s="76" t="s">
        <v>2416</v>
      </c>
      <c r="V897" s="26" t="s">
        <v>79</v>
      </c>
      <c r="W897" s="25"/>
      <c r="X897" s="26" t="s">
        <v>80</v>
      </c>
      <c r="Y897" s="60"/>
      <c r="Z897" s="26" t="s">
        <v>80</v>
      </c>
      <c r="AA897" s="25"/>
      <c r="AB897" s="26" t="s">
        <v>80</v>
      </c>
      <c r="AD897" s="23" t="s">
        <v>2411</v>
      </c>
    </row>
    <row r="898" spans="2:30" ht="84.95">
      <c r="B898" s="21" t="s">
        <v>2564</v>
      </c>
      <c r="C898" s="20"/>
      <c r="D898" s="21" t="s">
        <v>2565</v>
      </c>
      <c r="E898" s="20"/>
      <c r="F898" s="23" t="s">
        <v>71</v>
      </c>
      <c r="H898" s="21" t="s">
        <v>2406</v>
      </c>
      <c r="J898" s="21" t="s">
        <v>411</v>
      </c>
      <c r="L898" s="21" t="s">
        <v>737</v>
      </c>
      <c r="N898" s="21" t="s">
        <v>236</v>
      </c>
      <c r="P898" s="21" t="s">
        <v>2405</v>
      </c>
      <c r="R898" s="21" t="s">
        <v>77</v>
      </c>
      <c r="S898" s="20"/>
      <c r="T898" s="76" t="s">
        <v>2416</v>
      </c>
      <c r="V898" s="26" t="s">
        <v>79</v>
      </c>
      <c r="W898" s="25"/>
      <c r="X898" s="26" t="s">
        <v>80</v>
      </c>
      <c r="Y898" s="60"/>
      <c r="Z898" s="26" t="s">
        <v>80</v>
      </c>
      <c r="AA898" s="25"/>
      <c r="AB898" s="26" t="s">
        <v>80</v>
      </c>
      <c r="AD898" s="23" t="s">
        <v>2411</v>
      </c>
    </row>
    <row r="899" spans="2:30" ht="84.95">
      <c r="B899" s="21" t="s">
        <v>2566</v>
      </c>
      <c r="C899" s="20"/>
      <c r="D899" s="21" t="s">
        <v>2567</v>
      </c>
      <c r="E899" s="20"/>
      <c r="F899" s="23" t="s">
        <v>394</v>
      </c>
      <c r="H899" s="21" t="s">
        <v>2406</v>
      </c>
      <c r="J899" s="21" t="s">
        <v>411</v>
      </c>
      <c r="L899" s="21" t="s">
        <v>737</v>
      </c>
      <c r="N899" s="21" t="s">
        <v>236</v>
      </c>
      <c r="P899" s="21" t="s">
        <v>2405</v>
      </c>
      <c r="R899" s="21" t="s">
        <v>77</v>
      </c>
      <c r="S899" s="20"/>
      <c r="T899" s="76" t="s">
        <v>2416</v>
      </c>
      <c r="V899" s="26" t="s">
        <v>79</v>
      </c>
      <c r="W899" s="25"/>
      <c r="X899" s="26" t="s">
        <v>80</v>
      </c>
      <c r="Y899" s="60"/>
      <c r="Z899" s="26" t="s">
        <v>80</v>
      </c>
      <c r="AA899" s="25"/>
      <c r="AB899" s="26" t="s">
        <v>80</v>
      </c>
      <c r="AD899" s="23" t="s">
        <v>2411</v>
      </c>
    </row>
    <row r="900" spans="2:30" ht="84.95">
      <c r="B900" s="21" t="s">
        <v>2568</v>
      </c>
      <c r="C900" s="20"/>
      <c r="D900" s="21" t="s">
        <v>2567</v>
      </c>
      <c r="E900" s="20"/>
      <c r="F900" s="23" t="s">
        <v>394</v>
      </c>
      <c r="H900" s="21" t="s">
        <v>2406</v>
      </c>
      <c r="J900" s="21" t="s">
        <v>411</v>
      </c>
      <c r="L900" s="21" t="s">
        <v>737</v>
      </c>
      <c r="N900" s="21" t="s">
        <v>236</v>
      </c>
      <c r="P900" s="21" t="s">
        <v>2405</v>
      </c>
      <c r="R900" s="21" t="s">
        <v>77</v>
      </c>
      <c r="S900" s="20"/>
      <c r="T900" s="76" t="s">
        <v>2416</v>
      </c>
      <c r="V900" s="26" t="s">
        <v>79</v>
      </c>
      <c r="W900" s="25"/>
      <c r="X900" s="26" t="s">
        <v>80</v>
      </c>
      <c r="Y900" s="60"/>
      <c r="Z900" s="26" t="s">
        <v>80</v>
      </c>
      <c r="AA900" s="25"/>
      <c r="AB900" s="26" t="s">
        <v>80</v>
      </c>
      <c r="AD900" s="23" t="s">
        <v>2411</v>
      </c>
    </row>
    <row r="901" spans="2:30" ht="84.95">
      <c r="B901" s="21" t="s">
        <v>2569</v>
      </c>
      <c r="C901" s="20"/>
      <c r="D901" s="21" t="s">
        <v>2570</v>
      </c>
      <c r="E901" s="20"/>
      <c r="F901" s="23" t="s">
        <v>394</v>
      </c>
      <c r="H901" s="21" t="s">
        <v>2406</v>
      </c>
      <c r="J901" s="21" t="s">
        <v>411</v>
      </c>
      <c r="L901" s="21" t="s">
        <v>737</v>
      </c>
      <c r="N901" s="21" t="s">
        <v>236</v>
      </c>
      <c r="P901" s="21" t="s">
        <v>2405</v>
      </c>
      <c r="R901" s="21" t="s">
        <v>77</v>
      </c>
      <c r="S901" s="20"/>
      <c r="T901" s="76" t="s">
        <v>2416</v>
      </c>
      <c r="U901" s="77"/>
      <c r="V901" s="26" t="s">
        <v>79</v>
      </c>
      <c r="W901" s="25"/>
      <c r="X901" s="26" t="s">
        <v>80</v>
      </c>
      <c r="Y901" s="60"/>
      <c r="Z901" s="26" t="s">
        <v>80</v>
      </c>
      <c r="AA901" s="25"/>
      <c r="AB901" s="26" t="s">
        <v>80</v>
      </c>
      <c r="AD901" s="23" t="s">
        <v>2411</v>
      </c>
    </row>
    <row r="902" spans="2:30" ht="84.95">
      <c r="B902" s="21" t="s">
        <v>2571</v>
      </c>
      <c r="C902" s="20"/>
      <c r="D902" s="21" t="s">
        <v>2570</v>
      </c>
      <c r="E902" s="20"/>
      <c r="F902" s="23" t="s">
        <v>394</v>
      </c>
      <c r="H902" s="21" t="s">
        <v>2406</v>
      </c>
      <c r="J902" s="21" t="s">
        <v>411</v>
      </c>
      <c r="L902" s="21" t="s">
        <v>737</v>
      </c>
      <c r="N902" s="21" t="s">
        <v>236</v>
      </c>
      <c r="P902" s="21" t="s">
        <v>2405</v>
      </c>
      <c r="R902" s="21" t="s">
        <v>77</v>
      </c>
      <c r="S902" s="20"/>
      <c r="T902" s="76" t="s">
        <v>2416</v>
      </c>
      <c r="V902" s="26" t="s">
        <v>79</v>
      </c>
      <c r="W902" s="25"/>
      <c r="X902" s="26" t="s">
        <v>80</v>
      </c>
      <c r="Y902" s="60"/>
      <c r="Z902" s="26" t="s">
        <v>80</v>
      </c>
      <c r="AA902" s="25"/>
      <c r="AB902" s="26" t="s">
        <v>80</v>
      </c>
      <c r="AD902" s="23" t="s">
        <v>2411</v>
      </c>
    </row>
    <row r="903" spans="2:30" ht="84.95">
      <c r="B903" s="21" t="s">
        <v>2572</v>
      </c>
      <c r="C903" s="20"/>
      <c r="D903" s="21" t="s">
        <v>2570</v>
      </c>
      <c r="E903" s="20"/>
      <c r="F903" s="23" t="s">
        <v>394</v>
      </c>
      <c r="H903" s="21" t="s">
        <v>2406</v>
      </c>
      <c r="J903" s="21" t="s">
        <v>411</v>
      </c>
      <c r="L903" s="21" t="s">
        <v>737</v>
      </c>
      <c r="N903" s="21" t="s">
        <v>236</v>
      </c>
      <c r="P903" s="21" t="s">
        <v>2405</v>
      </c>
      <c r="R903" s="21" t="s">
        <v>77</v>
      </c>
      <c r="S903" s="20"/>
      <c r="T903" s="76" t="s">
        <v>2416</v>
      </c>
      <c r="V903" s="26" t="s">
        <v>79</v>
      </c>
      <c r="W903" s="25"/>
      <c r="X903" s="26" t="s">
        <v>80</v>
      </c>
      <c r="Y903" s="60"/>
      <c r="Z903" s="26" t="s">
        <v>80</v>
      </c>
      <c r="AA903" s="25"/>
      <c r="AB903" s="26" t="s">
        <v>80</v>
      </c>
      <c r="AD903" s="23" t="s">
        <v>2411</v>
      </c>
    </row>
    <row r="904" spans="2:30" ht="84.95">
      <c r="B904" s="21" t="s">
        <v>2573</v>
      </c>
      <c r="C904" s="20"/>
      <c r="D904" s="21" t="s">
        <v>2574</v>
      </c>
      <c r="E904" s="20"/>
      <c r="F904" s="23" t="s">
        <v>394</v>
      </c>
      <c r="H904" s="21" t="s">
        <v>2406</v>
      </c>
      <c r="J904" s="21" t="s">
        <v>411</v>
      </c>
      <c r="L904" s="21" t="s">
        <v>737</v>
      </c>
      <c r="N904" s="21" t="s">
        <v>236</v>
      </c>
      <c r="P904" s="21" t="s">
        <v>2405</v>
      </c>
      <c r="R904" s="21" t="s">
        <v>77</v>
      </c>
      <c r="S904" s="20"/>
      <c r="T904" s="76" t="s">
        <v>2416</v>
      </c>
      <c r="U904" s="77"/>
      <c r="V904" s="26" t="s">
        <v>79</v>
      </c>
      <c r="W904" s="25"/>
      <c r="X904" s="26" t="s">
        <v>80</v>
      </c>
      <c r="Y904" s="60"/>
      <c r="Z904" s="26" t="s">
        <v>80</v>
      </c>
      <c r="AA904" s="25"/>
      <c r="AB904" s="26" t="s">
        <v>80</v>
      </c>
      <c r="AD904" s="23" t="s">
        <v>2411</v>
      </c>
    </row>
    <row r="905" spans="2:30" ht="84.95">
      <c r="B905" s="21" t="s">
        <v>2575</v>
      </c>
      <c r="C905" s="20"/>
      <c r="D905" s="21" t="s">
        <v>2574</v>
      </c>
      <c r="E905" s="20"/>
      <c r="F905" s="23" t="s">
        <v>394</v>
      </c>
      <c r="H905" s="21" t="s">
        <v>2406</v>
      </c>
      <c r="J905" s="21" t="s">
        <v>411</v>
      </c>
      <c r="L905" s="21" t="s">
        <v>737</v>
      </c>
      <c r="N905" s="21" t="s">
        <v>236</v>
      </c>
      <c r="P905" s="21" t="s">
        <v>2405</v>
      </c>
      <c r="R905" s="21" t="s">
        <v>77</v>
      </c>
      <c r="S905" s="20"/>
      <c r="T905" s="76" t="s">
        <v>2416</v>
      </c>
      <c r="U905" s="77"/>
      <c r="V905" s="26" t="s">
        <v>79</v>
      </c>
      <c r="W905" s="25"/>
      <c r="X905" s="26" t="s">
        <v>80</v>
      </c>
      <c r="Y905" s="60"/>
      <c r="Z905" s="26" t="s">
        <v>80</v>
      </c>
      <c r="AA905" s="25"/>
      <c r="AB905" s="26" t="s">
        <v>80</v>
      </c>
      <c r="AD905" s="23" t="s">
        <v>2411</v>
      </c>
    </row>
    <row r="906" spans="2:30" ht="84.95">
      <c r="B906" s="21" t="s">
        <v>2576</v>
      </c>
      <c r="C906" s="20"/>
      <c r="D906" s="21" t="s">
        <v>2574</v>
      </c>
      <c r="E906" s="20"/>
      <c r="F906" s="23" t="s">
        <v>394</v>
      </c>
      <c r="H906" s="21" t="s">
        <v>2406</v>
      </c>
      <c r="J906" s="21" t="s">
        <v>411</v>
      </c>
      <c r="L906" s="21" t="s">
        <v>737</v>
      </c>
      <c r="N906" s="21" t="s">
        <v>236</v>
      </c>
      <c r="P906" s="21" t="s">
        <v>2405</v>
      </c>
      <c r="R906" s="21" t="s">
        <v>77</v>
      </c>
      <c r="S906" s="20"/>
      <c r="T906" s="76" t="s">
        <v>2416</v>
      </c>
      <c r="U906" s="77"/>
      <c r="V906" s="26" t="s">
        <v>79</v>
      </c>
      <c r="W906" s="25"/>
      <c r="X906" s="26" t="s">
        <v>80</v>
      </c>
      <c r="Y906" s="60"/>
      <c r="Z906" s="26" t="s">
        <v>80</v>
      </c>
      <c r="AA906" s="25"/>
      <c r="AB906" s="26" t="s">
        <v>80</v>
      </c>
      <c r="AD906" s="23" t="s">
        <v>2411</v>
      </c>
    </row>
    <row r="907" spans="2:30" ht="84.95">
      <c r="B907" s="21" t="s">
        <v>2577</v>
      </c>
      <c r="C907" s="20"/>
      <c r="D907" s="21" t="s">
        <v>2574</v>
      </c>
      <c r="E907" s="20"/>
      <c r="F907" s="23" t="s">
        <v>394</v>
      </c>
      <c r="H907" s="21" t="s">
        <v>2406</v>
      </c>
      <c r="J907" s="21" t="s">
        <v>411</v>
      </c>
      <c r="L907" s="21" t="s">
        <v>737</v>
      </c>
      <c r="N907" s="21" t="s">
        <v>236</v>
      </c>
      <c r="P907" s="21" t="s">
        <v>2405</v>
      </c>
      <c r="R907" s="21" t="s">
        <v>77</v>
      </c>
      <c r="S907" s="20"/>
      <c r="T907" s="76" t="s">
        <v>2416</v>
      </c>
      <c r="U907" s="77"/>
      <c r="V907" s="26" t="s">
        <v>79</v>
      </c>
      <c r="W907" s="25"/>
      <c r="X907" s="26" t="s">
        <v>80</v>
      </c>
      <c r="Y907" s="60"/>
      <c r="Z907" s="26" t="s">
        <v>80</v>
      </c>
      <c r="AA907" s="25"/>
      <c r="AB907" s="26" t="s">
        <v>80</v>
      </c>
      <c r="AD907" s="23" t="s">
        <v>2411</v>
      </c>
    </row>
    <row r="908" spans="2:30" ht="84.95">
      <c r="B908" s="21" t="s">
        <v>2578</v>
      </c>
      <c r="C908" s="20"/>
      <c r="D908" s="21" t="s">
        <v>2574</v>
      </c>
      <c r="E908" s="20"/>
      <c r="F908" s="23" t="s">
        <v>394</v>
      </c>
      <c r="H908" s="21" t="s">
        <v>2406</v>
      </c>
      <c r="J908" s="21" t="s">
        <v>411</v>
      </c>
      <c r="L908" s="21" t="s">
        <v>737</v>
      </c>
      <c r="N908" s="21" t="s">
        <v>236</v>
      </c>
      <c r="P908" s="21" t="s">
        <v>2405</v>
      </c>
      <c r="R908" s="21" t="s">
        <v>77</v>
      </c>
      <c r="S908" s="20"/>
      <c r="T908" s="76" t="s">
        <v>2416</v>
      </c>
      <c r="V908" s="26" t="s">
        <v>79</v>
      </c>
      <c r="W908" s="25"/>
      <c r="X908" s="26" t="s">
        <v>80</v>
      </c>
      <c r="Y908" s="60"/>
      <c r="Z908" s="26" t="s">
        <v>80</v>
      </c>
      <c r="AA908" s="25"/>
      <c r="AB908" s="26" t="s">
        <v>80</v>
      </c>
      <c r="AD908" s="23" t="s">
        <v>2411</v>
      </c>
    </row>
    <row r="909" spans="2:30" ht="84.95">
      <c r="B909" s="21" t="s">
        <v>2579</v>
      </c>
      <c r="C909" s="20"/>
      <c r="D909" s="21" t="s">
        <v>2574</v>
      </c>
      <c r="E909" s="20"/>
      <c r="F909" s="23" t="s">
        <v>394</v>
      </c>
      <c r="H909" s="21" t="s">
        <v>2406</v>
      </c>
      <c r="J909" s="21" t="s">
        <v>411</v>
      </c>
      <c r="L909" s="21" t="s">
        <v>737</v>
      </c>
      <c r="N909" s="21" t="s">
        <v>236</v>
      </c>
      <c r="P909" s="21" t="s">
        <v>2405</v>
      </c>
      <c r="R909" s="21" t="s">
        <v>77</v>
      </c>
      <c r="S909" s="20"/>
      <c r="T909" s="76" t="s">
        <v>2416</v>
      </c>
      <c r="V909" s="26" t="s">
        <v>79</v>
      </c>
      <c r="W909" s="25"/>
      <c r="X909" s="26" t="s">
        <v>80</v>
      </c>
      <c r="Y909" s="60"/>
      <c r="Z909" s="26" t="s">
        <v>80</v>
      </c>
      <c r="AA909" s="25"/>
      <c r="AB909" s="26" t="s">
        <v>80</v>
      </c>
      <c r="AD909" s="23" t="s">
        <v>2411</v>
      </c>
    </row>
    <row r="910" spans="2:30" ht="84.95">
      <c r="B910" s="21" t="s">
        <v>2580</v>
      </c>
      <c r="C910" s="20"/>
      <c r="D910" s="21" t="s">
        <v>2574</v>
      </c>
      <c r="E910" s="20"/>
      <c r="F910" s="23" t="s">
        <v>394</v>
      </c>
      <c r="H910" s="21" t="s">
        <v>2406</v>
      </c>
      <c r="J910" s="21" t="s">
        <v>411</v>
      </c>
      <c r="L910" s="21" t="s">
        <v>737</v>
      </c>
      <c r="N910" s="21" t="s">
        <v>236</v>
      </c>
      <c r="P910" s="21" t="s">
        <v>2405</v>
      </c>
      <c r="R910" s="21" t="s">
        <v>77</v>
      </c>
      <c r="S910" s="20"/>
      <c r="T910" s="76" t="s">
        <v>2416</v>
      </c>
      <c r="V910" s="26" t="s">
        <v>79</v>
      </c>
      <c r="W910" s="25"/>
      <c r="X910" s="26" t="s">
        <v>80</v>
      </c>
      <c r="Y910" s="60"/>
      <c r="Z910" s="26" t="s">
        <v>80</v>
      </c>
      <c r="AA910" s="25"/>
      <c r="AB910" s="26" t="s">
        <v>80</v>
      </c>
      <c r="AD910" s="23" t="s">
        <v>2411</v>
      </c>
    </row>
    <row r="911" spans="2:30" ht="84.95">
      <c r="B911" s="21" t="s">
        <v>2581</v>
      </c>
      <c r="C911" s="20"/>
      <c r="D911" s="21" t="s">
        <v>2574</v>
      </c>
      <c r="E911" s="20"/>
      <c r="F911" s="23" t="s">
        <v>394</v>
      </c>
      <c r="H911" s="21" t="s">
        <v>2406</v>
      </c>
      <c r="J911" s="21" t="s">
        <v>411</v>
      </c>
      <c r="L911" s="21" t="s">
        <v>737</v>
      </c>
      <c r="N911" s="21" t="s">
        <v>236</v>
      </c>
      <c r="P911" s="21" t="s">
        <v>2405</v>
      </c>
      <c r="R911" s="21" t="s">
        <v>77</v>
      </c>
      <c r="S911" s="20"/>
      <c r="T911" s="76" t="s">
        <v>2416</v>
      </c>
      <c r="U911" s="77"/>
      <c r="V911" s="26" t="s">
        <v>79</v>
      </c>
      <c r="W911" s="25"/>
      <c r="X911" s="26" t="s">
        <v>80</v>
      </c>
      <c r="Y911" s="60"/>
      <c r="Z911" s="26" t="s">
        <v>80</v>
      </c>
      <c r="AA911" s="25"/>
      <c r="AB911" s="26" t="s">
        <v>80</v>
      </c>
      <c r="AD911" s="23" t="s">
        <v>2411</v>
      </c>
    </row>
    <row r="912" spans="2:30" ht="84.95">
      <c r="B912" s="21" t="s">
        <v>2582</v>
      </c>
      <c r="C912" s="20"/>
      <c r="D912" s="21" t="s">
        <v>2574</v>
      </c>
      <c r="E912" s="20"/>
      <c r="F912" s="23" t="s">
        <v>394</v>
      </c>
      <c r="H912" s="21" t="s">
        <v>2406</v>
      </c>
      <c r="J912" s="21" t="s">
        <v>411</v>
      </c>
      <c r="L912" s="21" t="s">
        <v>737</v>
      </c>
      <c r="N912" s="21" t="s">
        <v>236</v>
      </c>
      <c r="P912" s="21" t="s">
        <v>2405</v>
      </c>
      <c r="R912" s="21" t="s">
        <v>77</v>
      </c>
      <c r="S912" s="20"/>
      <c r="T912" s="76" t="s">
        <v>2416</v>
      </c>
      <c r="V912" s="26" t="s">
        <v>79</v>
      </c>
      <c r="W912" s="25"/>
      <c r="X912" s="26" t="s">
        <v>80</v>
      </c>
      <c r="Y912" s="60"/>
      <c r="Z912" s="26" t="s">
        <v>80</v>
      </c>
      <c r="AA912" s="25"/>
      <c r="AB912" s="26" t="s">
        <v>80</v>
      </c>
      <c r="AD912" s="23" t="s">
        <v>2411</v>
      </c>
    </row>
    <row r="913" spans="2:30" ht="84.95">
      <c r="B913" s="21" t="s">
        <v>2583</v>
      </c>
      <c r="C913" s="20"/>
      <c r="D913" s="21" t="s">
        <v>2574</v>
      </c>
      <c r="E913" s="20"/>
      <c r="F913" s="23" t="s">
        <v>394</v>
      </c>
      <c r="H913" s="21" t="s">
        <v>2406</v>
      </c>
      <c r="J913" s="21" t="s">
        <v>411</v>
      </c>
      <c r="L913" s="21" t="s">
        <v>737</v>
      </c>
      <c r="N913" s="21" t="s">
        <v>236</v>
      </c>
      <c r="P913" s="21" t="s">
        <v>2405</v>
      </c>
      <c r="R913" s="21" t="s">
        <v>77</v>
      </c>
      <c r="S913" s="20"/>
      <c r="T913" s="76" t="s">
        <v>2416</v>
      </c>
      <c r="V913" s="26" t="s">
        <v>79</v>
      </c>
      <c r="W913" s="25"/>
      <c r="X913" s="26" t="s">
        <v>80</v>
      </c>
      <c r="Y913" s="60"/>
      <c r="Z913" s="26" t="s">
        <v>80</v>
      </c>
      <c r="AA913" s="25"/>
      <c r="AB913" s="26" t="s">
        <v>80</v>
      </c>
      <c r="AD913" s="23" t="s">
        <v>2411</v>
      </c>
    </row>
    <row r="914" spans="2:30" ht="84.95">
      <c r="B914" s="21" t="s">
        <v>2584</v>
      </c>
      <c r="C914" s="20"/>
      <c r="D914" s="21" t="s">
        <v>2574</v>
      </c>
      <c r="E914" s="20"/>
      <c r="F914" s="23" t="s">
        <v>394</v>
      </c>
      <c r="H914" s="21" t="s">
        <v>2406</v>
      </c>
      <c r="J914" s="21" t="s">
        <v>411</v>
      </c>
      <c r="L914" s="21" t="s">
        <v>737</v>
      </c>
      <c r="N914" s="21" t="s">
        <v>236</v>
      </c>
      <c r="P914" s="21" t="s">
        <v>2405</v>
      </c>
      <c r="R914" s="21" t="s">
        <v>77</v>
      </c>
      <c r="S914" s="20"/>
      <c r="T914" s="76" t="s">
        <v>2416</v>
      </c>
      <c r="V914" s="26" t="s">
        <v>79</v>
      </c>
      <c r="W914" s="25"/>
      <c r="X914" s="26" t="s">
        <v>80</v>
      </c>
      <c r="Y914" s="60"/>
      <c r="Z914" s="26" t="s">
        <v>80</v>
      </c>
      <c r="AA914" s="25"/>
      <c r="AB914" s="26" t="s">
        <v>80</v>
      </c>
      <c r="AD914" s="23" t="s">
        <v>2411</v>
      </c>
    </row>
    <row r="915" spans="2:30" ht="84.95">
      <c r="B915" s="21" t="s">
        <v>2585</v>
      </c>
      <c r="C915" s="20"/>
      <c r="D915" s="21" t="s">
        <v>2574</v>
      </c>
      <c r="E915" s="20"/>
      <c r="F915" s="23" t="s">
        <v>394</v>
      </c>
      <c r="H915" s="21" t="s">
        <v>2406</v>
      </c>
      <c r="J915" s="21" t="s">
        <v>411</v>
      </c>
      <c r="L915" s="21" t="s">
        <v>737</v>
      </c>
      <c r="N915" s="21" t="s">
        <v>236</v>
      </c>
      <c r="P915" s="21" t="s">
        <v>2405</v>
      </c>
      <c r="R915" s="21" t="s">
        <v>77</v>
      </c>
      <c r="S915" s="20"/>
      <c r="T915" s="76" t="s">
        <v>2416</v>
      </c>
      <c r="V915" s="26" t="s">
        <v>79</v>
      </c>
      <c r="W915" s="25"/>
      <c r="X915" s="26" t="s">
        <v>80</v>
      </c>
      <c r="Y915" s="60"/>
      <c r="Z915" s="26" t="s">
        <v>80</v>
      </c>
      <c r="AA915" s="25"/>
      <c r="AB915" s="26" t="s">
        <v>80</v>
      </c>
      <c r="AD915" s="23" t="s">
        <v>2411</v>
      </c>
    </row>
    <row r="916" spans="2:30" ht="84.95">
      <c r="B916" s="21" t="s">
        <v>2586</v>
      </c>
      <c r="C916" s="20"/>
      <c r="D916" s="21" t="s">
        <v>2574</v>
      </c>
      <c r="E916" s="20"/>
      <c r="F916" s="23" t="s">
        <v>394</v>
      </c>
      <c r="H916" s="21" t="s">
        <v>2406</v>
      </c>
      <c r="J916" s="21" t="s">
        <v>411</v>
      </c>
      <c r="L916" s="21" t="s">
        <v>737</v>
      </c>
      <c r="N916" s="21" t="s">
        <v>236</v>
      </c>
      <c r="P916" s="21" t="s">
        <v>2405</v>
      </c>
      <c r="R916" s="21" t="s">
        <v>77</v>
      </c>
      <c r="S916" s="20"/>
      <c r="T916" s="76" t="s">
        <v>2416</v>
      </c>
      <c r="V916" s="26" t="s">
        <v>79</v>
      </c>
      <c r="W916" s="25"/>
      <c r="X916" s="26" t="s">
        <v>80</v>
      </c>
      <c r="Y916" s="60"/>
      <c r="Z916" s="26" t="s">
        <v>80</v>
      </c>
      <c r="AA916" s="25"/>
      <c r="AB916" s="26" t="s">
        <v>80</v>
      </c>
      <c r="AD916" s="23" t="s">
        <v>2411</v>
      </c>
    </row>
    <row r="917" spans="2:30" ht="84.95">
      <c r="B917" s="21" t="s">
        <v>2587</v>
      </c>
      <c r="C917" s="20"/>
      <c r="D917" s="21" t="s">
        <v>2574</v>
      </c>
      <c r="E917" s="20"/>
      <c r="F917" s="23" t="s">
        <v>394</v>
      </c>
      <c r="H917" s="21" t="s">
        <v>2406</v>
      </c>
      <c r="J917" s="21" t="s">
        <v>411</v>
      </c>
      <c r="L917" s="21" t="s">
        <v>737</v>
      </c>
      <c r="N917" s="21" t="s">
        <v>236</v>
      </c>
      <c r="P917" s="21" t="s">
        <v>2405</v>
      </c>
      <c r="R917" s="21" t="s">
        <v>77</v>
      </c>
      <c r="S917" s="20"/>
      <c r="T917" s="76" t="s">
        <v>2416</v>
      </c>
      <c r="V917" s="26" t="s">
        <v>79</v>
      </c>
      <c r="W917" s="25"/>
      <c r="X917" s="26" t="s">
        <v>80</v>
      </c>
      <c r="Y917" s="60"/>
      <c r="Z917" s="26" t="s">
        <v>80</v>
      </c>
      <c r="AA917" s="25"/>
      <c r="AB917" s="26" t="s">
        <v>80</v>
      </c>
      <c r="AD917" s="23" t="s">
        <v>2411</v>
      </c>
    </row>
    <row r="918" spans="2:30" ht="84.95">
      <c r="B918" s="21" t="s">
        <v>2588</v>
      </c>
      <c r="C918" s="20"/>
      <c r="D918" s="21" t="s">
        <v>2574</v>
      </c>
      <c r="E918" s="20"/>
      <c r="F918" s="23" t="s">
        <v>394</v>
      </c>
      <c r="H918" s="21" t="s">
        <v>2406</v>
      </c>
      <c r="J918" s="21" t="s">
        <v>411</v>
      </c>
      <c r="L918" s="21" t="s">
        <v>737</v>
      </c>
      <c r="N918" s="21" t="s">
        <v>236</v>
      </c>
      <c r="P918" s="21" t="s">
        <v>2405</v>
      </c>
      <c r="R918" s="21" t="s">
        <v>77</v>
      </c>
      <c r="S918" s="20"/>
      <c r="T918" s="76" t="s">
        <v>2416</v>
      </c>
      <c r="U918" s="77"/>
      <c r="V918" s="26" t="s">
        <v>79</v>
      </c>
      <c r="W918" s="25"/>
      <c r="X918" s="26" t="s">
        <v>80</v>
      </c>
      <c r="Y918" s="60"/>
      <c r="Z918" s="26" t="s">
        <v>80</v>
      </c>
      <c r="AA918" s="25"/>
      <c r="AB918" s="26" t="s">
        <v>80</v>
      </c>
      <c r="AD918" s="23" t="s">
        <v>2411</v>
      </c>
    </row>
    <row r="919" spans="2:30" ht="84.95">
      <c r="B919" s="21" t="s">
        <v>2589</v>
      </c>
      <c r="C919" s="20"/>
      <c r="D919" s="21" t="s">
        <v>2590</v>
      </c>
      <c r="E919" s="20"/>
      <c r="F919" s="23" t="s">
        <v>394</v>
      </c>
      <c r="H919" s="21" t="s">
        <v>2406</v>
      </c>
      <c r="J919" s="21" t="s">
        <v>411</v>
      </c>
      <c r="L919" s="21" t="s">
        <v>737</v>
      </c>
      <c r="N919" s="21" t="s">
        <v>236</v>
      </c>
      <c r="P919" s="21" t="s">
        <v>2405</v>
      </c>
      <c r="R919" s="21" t="s">
        <v>77</v>
      </c>
      <c r="S919" s="20"/>
      <c r="T919" s="76" t="s">
        <v>2416</v>
      </c>
      <c r="U919" s="77"/>
      <c r="V919" s="26" t="s">
        <v>79</v>
      </c>
      <c r="W919" s="25"/>
      <c r="X919" s="26" t="s">
        <v>80</v>
      </c>
      <c r="Y919" s="60"/>
      <c r="Z919" s="26" t="s">
        <v>80</v>
      </c>
      <c r="AA919" s="25"/>
      <c r="AB919" s="26" t="s">
        <v>80</v>
      </c>
      <c r="AD919" s="23" t="s">
        <v>2411</v>
      </c>
    </row>
    <row r="920" spans="2:30" ht="84.95">
      <c r="B920" s="21" t="s">
        <v>2591</v>
      </c>
      <c r="C920" s="20"/>
      <c r="D920" s="21" t="s">
        <v>2590</v>
      </c>
      <c r="E920" s="20"/>
      <c r="F920" s="23" t="s">
        <v>394</v>
      </c>
      <c r="H920" s="21" t="s">
        <v>2406</v>
      </c>
      <c r="J920" s="21" t="s">
        <v>411</v>
      </c>
      <c r="L920" s="21" t="s">
        <v>737</v>
      </c>
      <c r="N920" s="21" t="s">
        <v>236</v>
      </c>
      <c r="P920" s="21" t="s">
        <v>2405</v>
      </c>
      <c r="R920" s="21" t="s">
        <v>77</v>
      </c>
      <c r="S920" s="20"/>
      <c r="T920" s="76" t="s">
        <v>2416</v>
      </c>
      <c r="V920" s="26" t="s">
        <v>79</v>
      </c>
      <c r="W920" s="25"/>
      <c r="X920" s="26" t="s">
        <v>80</v>
      </c>
      <c r="Y920" s="60"/>
      <c r="Z920" s="26" t="s">
        <v>80</v>
      </c>
      <c r="AA920" s="25"/>
      <c r="AB920" s="26" t="s">
        <v>80</v>
      </c>
      <c r="AD920" s="23" t="s">
        <v>2411</v>
      </c>
    </row>
    <row r="921" spans="2:30" ht="84.95">
      <c r="B921" s="21" t="s">
        <v>2592</v>
      </c>
      <c r="C921" s="20"/>
      <c r="D921" s="21" t="s">
        <v>2590</v>
      </c>
      <c r="E921" s="20"/>
      <c r="F921" s="23" t="s">
        <v>394</v>
      </c>
      <c r="H921" s="21" t="s">
        <v>2406</v>
      </c>
      <c r="J921" s="21" t="s">
        <v>411</v>
      </c>
      <c r="L921" s="21" t="s">
        <v>737</v>
      </c>
      <c r="N921" s="21" t="s">
        <v>236</v>
      </c>
      <c r="P921" s="21" t="s">
        <v>2405</v>
      </c>
      <c r="R921" s="21" t="s">
        <v>77</v>
      </c>
      <c r="S921" s="20"/>
      <c r="T921" s="76" t="s">
        <v>2416</v>
      </c>
      <c r="V921" s="26" t="s">
        <v>79</v>
      </c>
      <c r="W921" s="25"/>
      <c r="X921" s="26" t="s">
        <v>80</v>
      </c>
      <c r="Y921" s="60"/>
      <c r="Z921" s="26" t="s">
        <v>80</v>
      </c>
      <c r="AA921" s="25"/>
      <c r="AB921" s="26" t="s">
        <v>80</v>
      </c>
      <c r="AD921" s="23" t="s">
        <v>2411</v>
      </c>
    </row>
    <row r="922" spans="2:30" ht="84.95">
      <c r="B922" s="21" t="s">
        <v>2593</v>
      </c>
      <c r="C922" s="20"/>
      <c r="D922" s="21" t="s">
        <v>2590</v>
      </c>
      <c r="E922" s="20"/>
      <c r="F922" s="23" t="s">
        <v>394</v>
      </c>
      <c r="H922" s="21" t="s">
        <v>2406</v>
      </c>
      <c r="J922" s="21" t="s">
        <v>411</v>
      </c>
      <c r="L922" s="21" t="s">
        <v>737</v>
      </c>
      <c r="N922" s="21" t="s">
        <v>236</v>
      </c>
      <c r="P922" s="21" t="s">
        <v>2405</v>
      </c>
      <c r="R922" s="21" t="s">
        <v>77</v>
      </c>
      <c r="S922" s="20"/>
      <c r="T922" s="76" t="s">
        <v>2416</v>
      </c>
      <c r="V922" s="26" t="s">
        <v>79</v>
      </c>
      <c r="W922" s="25"/>
      <c r="X922" s="26" t="s">
        <v>80</v>
      </c>
      <c r="Y922" s="60"/>
      <c r="Z922" s="26" t="s">
        <v>80</v>
      </c>
      <c r="AA922" s="25"/>
      <c r="AB922" s="26" t="s">
        <v>80</v>
      </c>
      <c r="AD922" s="23" t="s">
        <v>2411</v>
      </c>
    </row>
    <row r="923" spans="2:30" ht="84.95">
      <c r="B923" s="21" t="s">
        <v>2594</v>
      </c>
      <c r="C923" s="20"/>
      <c r="D923" s="21" t="s">
        <v>2590</v>
      </c>
      <c r="E923" s="20"/>
      <c r="F923" s="23" t="s">
        <v>394</v>
      </c>
      <c r="H923" s="21" t="s">
        <v>2406</v>
      </c>
      <c r="J923" s="21" t="s">
        <v>411</v>
      </c>
      <c r="L923" s="21" t="s">
        <v>737</v>
      </c>
      <c r="N923" s="21" t="s">
        <v>236</v>
      </c>
      <c r="P923" s="21" t="s">
        <v>2405</v>
      </c>
      <c r="R923" s="21" t="s">
        <v>77</v>
      </c>
      <c r="S923" s="20"/>
      <c r="T923" s="76" t="s">
        <v>2416</v>
      </c>
      <c r="U923" s="77"/>
      <c r="V923" s="26" t="s">
        <v>79</v>
      </c>
      <c r="W923" s="25"/>
      <c r="X923" s="26" t="s">
        <v>80</v>
      </c>
      <c r="Y923" s="60"/>
      <c r="Z923" s="26" t="s">
        <v>80</v>
      </c>
      <c r="AA923" s="25"/>
      <c r="AB923" s="26" t="s">
        <v>80</v>
      </c>
      <c r="AD923" s="23" t="s">
        <v>2411</v>
      </c>
    </row>
    <row r="924" spans="2:30" ht="84.95">
      <c r="B924" s="21" t="s">
        <v>2595</v>
      </c>
      <c r="C924" s="20"/>
      <c r="D924" s="21" t="s">
        <v>2590</v>
      </c>
      <c r="E924" s="20"/>
      <c r="F924" s="23" t="s">
        <v>394</v>
      </c>
      <c r="H924" s="21" t="s">
        <v>2406</v>
      </c>
      <c r="J924" s="21" t="s">
        <v>411</v>
      </c>
      <c r="L924" s="21" t="s">
        <v>737</v>
      </c>
      <c r="N924" s="21" t="s">
        <v>236</v>
      </c>
      <c r="P924" s="21" t="s">
        <v>2405</v>
      </c>
      <c r="R924" s="21" t="s">
        <v>77</v>
      </c>
      <c r="S924" s="20"/>
      <c r="T924" s="76" t="s">
        <v>2416</v>
      </c>
      <c r="V924" s="26" t="s">
        <v>79</v>
      </c>
      <c r="W924" s="25"/>
      <c r="X924" s="26" t="s">
        <v>80</v>
      </c>
      <c r="Y924" s="60"/>
      <c r="Z924" s="26" t="s">
        <v>80</v>
      </c>
      <c r="AA924" s="25"/>
      <c r="AB924" s="26" t="s">
        <v>80</v>
      </c>
      <c r="AD924" s="23" t="s">
        <v>2411</v>
      </c>
    </row>
    <row r="925" spans="2:30" ht="84.95">
      <c r="B925" s="21" t="s">
        <v>2596</v>
      </c>
      <c r="C925" s="20"/>
      <c r="D925" s="21" t="s">
        <v>2590</v>
      </c>
      <c r="E925" s="20"/>
      <c r="F925" s="23" t="s">
        <v>394</v>
      </c>
      <c r="H925" s="21" t="s">
        <v>2406</v>
      </c>
      <c r="J925" s="21" t="s">
        <v>411</v>
      </c>
      <c r="L925" s="21" t="s">
        <v>737</v>
      </c>
      <c r="N925" s="21" t="s">
        <v>236</v>
      </c>
      <c r="P925" s="21" t="s">
        <v>2405</v>
      </c>
      <c r="R925" s="21" t="s">
        <v>77</v>
      </c>
      <c r="S925" s="20"/>
      <c r="T925" s="76" t="s">
        <v>2416</v>
      </c>
      <c r="V925" s="26" t="s">
        <v>79</v>
      </c>
      <c r="W925" s="25"/>
      <c r="X925" s="26" t="s">
        <v>80</v>
      </c>
      <c r="Y925" s="60"/>
      <c r="Z925" s="26" t="s">
        <v>80</v>
      </c>
      <c r="AA925" s="25"/>
      <c r="AB925" s="26" t="s">
        <v>80</v>
      </c>
      <c r="AD925" s="23" t="s">
        <v>2411</v>
      </c>
    </row>
    <row r="926" spans="2:30" ht="84.95">
      <c r="B926" s="21" t="s">
        <v>2597</v>
      </c>
      <c r="C926" s="20"/>
      <c r="D926" s="21" t="s">
        <v>2590</v>
      </c>
      <c r="E926" s="20"/>
      <c r="F926" s="23" t="s">
        <v>394</v>
      </c>
      <c r="H926" s="21" t="s">
        <v>2406</v>
      </c>
      <c r="J926" s="21" t="s">
        <v>411</v>
      </c>
      <c r="L926" s="21" t="s">
        <v>737</v>
      </c>
      <c r="N926" s="21" t="s">
        <v>236</v>
      </c>
      <c r="P926" s="21" t="s">
        <v>2405</v>
      </c>
      <c r="R926" s="21" t="s">
        <v>77</v>
      </c>
      <c r="S926" s="20"/>
      <c r="T926" s="76" t="s">
        <v>2416</v>
      </c>
      <c r="V926" s="26" t="s">
        <v>79</v>
      </c>
      <c r="W926" s="25"/>
      <c r="X926" s="26" t="s">
        <v>80</v>
      </c>
      <c r="Y926" s="60"/>
      <c r="Z926" s="26" t="s">
        <v>80</v>
      </c>
      <c r="AA926" s="25"/>
      <c r="AB926" s="26" t="s">
        <v>80</v>
      </c>
      <c r="AD926" s="23" t="s">
        <v>2411</v>
      </c>
    </row>
    <row r="927" spans="2:30" ht="84.95">
      <c r="B927" s="21" t="s">
        <v>2598</v>
      </c>
      <c r="C927" s="20"/>
      <c r="D927" s="21" t="s">
        <v>2590</v>
      </c>
      <c r="E927" s="20"/>
      <c r="F927" s="23" t="s">
        <v>394</v>
      </c>
      <c r="H927" s="21" t="s">
        <v>2406</v>
      </c>
      <c r="J927" s="21" t="s">
        <v>411</v>
      </c>
      <c r="L927" s="21" t="s">
        <v>737</v>
      </c>
      <c r="N927" s="21" t="s">
        <v>236</v>
      </c>
      <c r="P927" s="21" t="s">
        <v>2405</v>
      </c>
      <c r="R927" s="21" t="s">
        <v>77</v>
      </c>
      <c r="S927" s="20"/>
      <c r="T927" s="76" t="s">
        <v>2416</v>
      </c>
      <c r="U927" s="77"/>
      <c r="V927" s="26" t="s">
        <v>79</v>
      </c>
      <c r="W927" s="25"/>
      <c r="X927" s="26" t="s">
        <v>80</v>
      </c>
      <c r="Y927" s="60"/>
      <c r="Z927" s="26" t="s">
        <v>80</v>
      </c>
      <c r="AA927" s="25"/>
      <c r="AB927" s="26" t="s">
        <v>80</v>
      </c>
      <c r="AD927" s="23" t="s">
        <v>2411</v>
      </c>
    </row>
    <row r="928" spans="2:30" ht="84.95">
      <c r="B928" s="21" t="s">
        <v>2599</v>
      </c>
      <c r="C928" s="20"/>
      <c r="D928" s="21" t="s">
        <v>2590</v>
      </c>
      <c r="E928" s="20"/>
      <c r="F928" s="23" t="s">
        <v>394</v>
      </c>
      <c r="H928" s="21" t="s">
        <v>2406</v>
      </c>
      <c r="J928" s="21" t="s">
        <v>411</v>
      </c>
      <c r="L928" s="21" t="s">
        <v>737</v>
      </c>
      <c r="N928" s="21" t="s">
        <v>236</v>
      </c>
      <c r="P928" s="21" t="s">
        <v>2405</v>
      </c>
      <c r="R928" s="21" t="s">
        <v>77</v>
      </c>
      <c r="S928" s="20"/>
      <c r="T928" s="76" t="s">
        <v>2416</v>
      </c>
      <c r="U928" s="77"/>
      <c r="V928" s="26" t="s">
        <v>79</v>
      </c>
      <c r="W928" s="25"/>
      <c r="X928" s="26" t="s">
        <v>80</v>
      </c>
      <c r="Y928" s="60"/>
      <c r="Z928" s="26" t="s">
        <v>80</v>
      </c>
      <c r="AA928" s="25"/>
      <c r="AB928" s="26" t="s">
        <v>80</v>
      </c>
      <c r="AD928" s="23" t="s">
        <v>2411</v>
      </c>
    </row>
    <row r="929" spans="2:30" ht="84.95">
      <c r="B929" s="21" t="s">
        <v>2600</v>
      </c>
      <c r="C929" s="20"/>
      <c r="D929" s="21" t="s">
        <v>2590</v>
      </c>
      <c r="E929" s="20"/>
      <c r="F929" s="23" t="s">
        <v>394</v>
      </c>
      <c r="H929" s="21" t="s">
        <v>2406</v>
      </c>
      <c r="J929" s="21" t="s">
        <v>411</v>
      </c>
      <c r="L929" s="21" t="s">
        <v>737</v>
      </c>
      <c r="N929" s="21" t="s">
        <v>236</v>
      </c>
      <c r="P929" s="21" t="s">
        <v>2405</v>
      </c>
      <c r="R929" s="21" t="s">
        <v>77</v>
      </c>
      <c r="S929" s="20"/>
      <c r="T929" s="76" t="s">
        <v>2416</v>
      </c>
      <c r="U929" s="77"/>
      <c r="V929" s="26" t="s">
        <v>79</v>
      </c>
      <c r="W929" s="25"/>
      <c r="X929" s="26" t="s">
        <v>80</v>
      </c>
      <c r="Y929" s="60"/>
      <c r="Z929" s="26" t="s">
        <v>80</v>
      </c>
      <c r="AA929" s="25"/>
      <c r="AB929" s="26" t="s">
        <v>80</v>
      </c>
      <c r="AD929" s="23" t="s">
        <v>2411</v>
      </c>
    </row>
    <row r="930" spans="2:30" ht="84.95">
      <c r="B930" s="21" t="s">
        <v>2601</v>
      </c>
      <c r="C930" s="20"/>
      <c r="D930" s="21" t="s">
        <v>2574</v>
      </c>
      <c r="E930" s="20"/>
      <c r="F930" s="23" t="s">
        <v>394</v>
      </c>
      <c r="H930" s="21" t="s">
        <v>2406</v>
      </c>
      <c r="J930" s="21" t="s">
        <v>411</v>
      </c>
      <c r="L930" s="21" t="s">
        <v>737</v>
      </c>
      <c r="N930" s="21" t="s">
        <v>236</v>
      </c>
      <c r="P930" s="21" t="s">
        <v>2405</v>
      </c>
      <c r="R930" s="21" t="s">
        <v>77</v>
      </c>
      <c r="S930" s="20"/>
      <c r="T930" s="76" t="s">
        <v>2416</v>
      </c>
      <c r="V930" s="26" t="s">
        <v>79</v>
      </c>
      <c r="W930" s="25"/>
      <c r="X930" s="26" t="s">
        <v>80</v>
      </c>
      <c r="Y930" s="60"/>
      <c r="Z930" s="26" t="s">
        <v>80</v>
      </c>
      <c r="AA930" s="25"/>
      <c r="AB930" s="26" t="s">
        <v>80</v>
      </c>
      <c r="AD930" s="23" t="s">
        <v>2411</v>
      </c>
    </row>
    <row r="931" spans="2:30" ht="84.95">
      <c r="B931" s="21" t="s">
        <v>2602</v>
      </c>
      <c r="C931" s="20"/>
      <c r="D931" s="21" t="s">
        <v>2574</v>
      </c>
      <c r="E931" s="20"/>
      <c r="F931" s="23" t="s">
        <v>394</v>
      </c>
      <c r="H931" s="21" t="s">
        <v>2406</v>
      </c>
      <c r="J931" s="21" t="s">
        <v>411</v>
      </c>
      <c r="L931" s="21" t="s">
        <v>737</v>
      </c>
      <c r="N931" s="21" t="s">
        <v>236</v>
      </c>
      <c r="P931" s="21" t="s">
        <v>2405</v>
      </c>
      <c r="R931" s="21" t="s">
        <v>77</v>
      </c>
      <c r="S931" s="20"/>
      <c r="T931" s="76" t="s">
        <v>2416</v>
      </c>
      <c r="U931" s="77"/>
      <c r="V931" s="26" t="s">
        <v>79</v>
      </c>
      <c r="W931" s="25"/>
      <c r="X931" s="26" t="s">
        <v>80</v>
      </c>
      <c r="Y931" s="60"/>
      <c r="Z931" s="26" t="s">
        <v>80</v>
      </c>
      <c r="AA931" s="25"/>
      <c r="AB931" s="26" t="s">
        <v>80</v>
      </c>
      <c r="AD931" s="23" t="s">
        <v>2411</v>
      </c>
    </row>
    <row r="932" spans="2:30" ht="84.95">
      <c r="B932" s="21" t="s">
        <v>2603</v>
      </c>
      <c r="C932" s="20"/>
      <c r="D932" s="21" t="s">
        <v>2574</v>
      </c>
      <c r="E932" s="20"/>
      <c r="F932" s="23" t="s">
        <v>394</v>
      </c>
      <c r="H932" s="21" t="s">
        <v>2406</v>
      </c>
      <c r="J932" s="21" t="s">
        <v>411</v>
      </c>
      <c r="L932" s="21" t="s">
        <v>737</v>
      </c>
      <c r="N932" s="21" t="s">
        <v>236</v>
      </c>
      <c r="P932" s="21" t="s">
        <v>2405</v>
      </c>
      <c r="R932" s="21" t="s">
        <v>77</v>
      </c>
      <c r="S932" s="20"/>
      <c r="T932" s="76" t="s">
        <v>2416</v>
      </c>
      <c r="U932" s="77"/>
      <c r="V932" s="26" t="s">
        <v>79</v>
      </c>
      <c r="W932" s="25"/>
      <c r="X932" s="26" t="s">
        <v>80</v>
      </c>
      <c r="Y932" s="60"/>
      <c r="Z932" s="26" t="s">
        <v>80</v>
      </c>
      <c r="AA932" s="25"/>
      <c r="AB932" s="26" t="s">
        <v>80</v>
      </c>
      <c r="AD932" s="23" t="s">
        <v>2411</v>
      </c>
    </row>
    <row r="933" spans="2:30" ht="84.95">
      <c r="B933" s="21" t="s">
        <v>2604</v>
      </c>
      <c r="C933" s="20"/>
      <c r="D933" s="21" t="s">
        <v>2574</v>
      </c>
      <c r="E933" s="20"/>
      <c r="F933" s="23" t="s">
        <v>394</v>
      </c>
      <c r="H933" s="21" t="s">
        <v>2406</v>
      </c>
      <c r="J933" s="21" t="s">
        <v>411</v>
      </c>
      <c r="L933" s="21" t="s">
        <v>737</v>
      </c>
      <c r="N933" s="21" t="s">
        <v>236</v>
      </c>
      <c r="P933" s="21" t="s">
        <v>2405</v>
      </c>
      <c r="R933" s="21" t="s">
        <v>77</v>
      </c>
      <c r="S933" s="20"/>
      <c r="T933" s="76" t="s">
        <v>2416</v>
      </c>
      <c r="U933" s="77"/>
      <c r="V933" s="26" t="s">
        <v>79</v>
      </c>
      <c r="W933" s="25"/>
      <c r="X933" s="26" t="s">
        <v>80</v>
      </c>
      <c r="Y933" s="60"/>
      <c r="Z933" s="26" t="s">
        <v>80</v>
      </c>
      <c r="AA933" s="25"/>
      <c r="AB933" s="26" t="s">
        <v>80</v>
      </c>
      <c r="AD933" s="23" t="s">
        <v>2411</v>
      </c>
    </row>
    <row r="934" spans="2:30" ht="84.95">
      <c r="B934" s="21" t="s">
        <v>2605</v>
      </c>
      <c r="C934" s="20"/>
      <c r="D934" s="21" t="s">
        <v>2574</v>
      </c>
      <c r="E934" s="20"/>
      <c r="F934" s="23" t="s">
        <v>394</v>
      </c>
      <c r="H934" s="21" t="s">
        <v>2406</v>
      </c>
      <c r="J934" s="21" t="s">
        <v>411</v>
      </c>
      <c r="L934" s="21" t="s">
        <v>737</v>
      </c>
      <c r="N934" s="21" t="s">
        <v>236</v>
      </c>
      <c r="P934" s="21" t="s">
        <v>2405</v>
      </c>
      <c r="R934" s="21" t="s">
        <v>77</v>
      </c>
      <c r="S934" s="20"/>
      <c r="T934" s="76" t="s">
        <v>2416</v>
      </c>
      <c r="U934" s="77"/>
      <c r="V934" s="26" t="s">
        <v>79</v>
      </c>
      <c r="W934" s="25"/>
      <c r="X934" s="26" t="s">
        <v>80</v>
      </c>
      <c r="Y934" s="60"/>
      <c r="Z934" s="26" t="s">
        <v>80</v>
      </c>
      <c r="AA934" s="25"/>
      <c r="AB934" s="26" t="s">
        <v>80</v>
      </c>
      <c r="AD934" s="23" t="s">
        <v>2411</v>
      </c>
    </row>
    <row r="935" spans="2:30" ht="84.95">
      <c r="B935" s="21" t="s">
        <v>2606</v>
      </c>
      <c r="C935" s="20"/>
      <c r="D935" s="21" t="s">
        <v>2574</v>
      </c>
      <c r="E935" s="20"/>
      <c r="F935" s="23" t="s">
        <v>394</v>
      </c>
      <c r="H935" s="21" t="s">
        <v>2406</v>
      </c>
      <c r="J935" s="21" t="s">
        <v>411</v>
      </c>
      <c r="L935" s="21" t="s">
        <v>737</v>
      </c>
      <c r="N935" s="21" t="s">
        <v>236</v>
      </c>
      <c r="P935" s="21" t="s">
        <v>2405</v>
      </c>
      <c r="R935" s="21" t="s">
        <v>77</v>
      </c>
      <c r="S935" s="20"/>
      <c r="T935" s="76" t="s">
        <v>2416</v>
      </c>
      <c r="U935" s="77"/>
      <c r="V935" s="26" t="s">
        <v>79</v>
      </c>
      <c r="W935" s="25"/>
      <c r="X935" s="26" t="s">
        <v>80</v>
      </c>
      <c r="Y935" s="60"/>
      <c r="Z935" s="26" t="s">
        <v>80</v>
      </c>
      <c r="AA935" s="25"/>
      <c r="AB935" s="26" t="s">
        <v>80</v>
      </c>
      <c r="AD935" s="23" t="s">
        <v>2411</v>
      </c>
    </row>
    <row r="936" spans="2:30" ht="84.95">
      <c r="B936" s="21" t="s">
        <v>2607</v>
      </c>
      <c r="C936" s="20"/>
      <c r="D936" s="21" t="s">
        <v>2574</v>
      </c>
      <c r="E936" s="20"/>
      <c r="F936" s="23" t="s">
        <v>394</v>
      </c>
      <c r="H936" s="21" t="s">
        <v>2406</v>
      </c>
      <c r="J936" s="21" t="s">
        <v>411</v>
      </c>
      <c r="L936" s="21" t="s">
        <v>737</v>
      </c>
      <c r="N936" s="21" t="s">
        <v>236</v>
      </c>
      <c r="P936" s="21" t="s">
        <v>2405</v>
      </c>
      <c r="R936" s="21" t="s">
        <v>77</v>
      </c>
      <c r="S936" s="20"/>
      <c r="T936" s="76" t="s">
        <v>2416</v>
      </c>
      <c r="V936" s="26" t="s">
        <v>79</v>
      </c>
      <c r="W936" s="25"/>
      <c r="X936" s="26" t="s">
        <v>80</v>
      </c>
      <c r="Y936" s="60"/>
      <c r="Z936" s="26" t="s">
        <v>80</v>
      </c>
      <c r="AA936" s="25"/>
      <c r="AB936" s="26" t="s">
        <v>80</v>
      </c>
      <c r="AD936" s="23" t="s">
        <v>2411</v>
      </c>
    </row>
    <row r="937" spans="2:30" ht="84.95">
      <c r="B937" s="21" t="s">
        <v>2608</v>
      </c>
      <c r="C937" s="20"/>
      <c r="D937" s="21" t="s">
        <v>2574</v>
      </c>
      <c r="E937" s="20"/>
      <c r="F937" s="23" t="s">
        <v>394</v>
      </c>
      <c r="H937" s="21" t="s">
        <v>2406</v>
      </c>
      <c r="J937" s="21" t="s">
        <v>411</v>
      </c>
      <c r="L937" s="21" t="s">
        <v>737</v>
      </c>
      <c r="N937" s="21" t="s">
        <v>236</v>
      </c>
      <c r="P937" s="21" t="s">
        <v>2405</v>
      </c>
      <c r="R937" s="21" t="s">
        <v>77</v>
      </c>
      <c r="S937" s="20"/>
      <c r="T937" s="76" t="s">
        <v>2416</v>
      </c>
      <c r="V937" s="26" t="s">
        <v>79</v>
      </c>
      <c r="W937" s="25"/>
      <c r="X937" s="26" t="s">
        <v>80</v>
      </c>
      <c r="Y937" s="60"/>
      <c r="Z937" s="26" t="s">
        <v>80</v>
      </c>
      <c r="AA937" s="25"/>
      <c r="AB937" s="26" t="s">
        <v>80</v>
      </c>
      <c r="AD937" s="23" t="s">
        <v>2411</v>
      </c>
    </row>
    <row r="938" spans="2:30" ht="84.95">
      <c r="B938" s="21" t="s">
        <v>2609</v>
      </c>
      <c r="C938" s="20"/>
      <c r="D938" s="21" t="s">
        <v>2574</v>
      </c>
      <c r="E938" s="20"/>
      <c r="F938" s="23" t="s">
        <v>394</v>
      </c>
      <c r="H938" s="21" t="s">
        <v>2406</v>
      </c>
      <c r="J938" s="21" t="s">
        <v>411</v>
      </c>
      <c r="L938" s="21" t="s">
        <v>737</v>
      </c>
      <c r="N938" s="21" t="s">
        <v>236</v>
      </c>
      <c r="P938" s="21" t="s">
        <v>2405</v>
      </c>
      <c r="R938" s="21" t="s">
        <v>77</v>
      </c>
      <c r="S938" s="20"/>
      <c r="T938" s="76" t="s">
        <v>2416</v>
      </c>
      <c r="V938" s="26" t="s">
        <v>79</v>
      </c>
      <c r="W938" s="25"/>
      <c r="X938" s="26" t="s">
        <v>80</v>
      </c>
      <c r="Y938" s="60"/>
      <c r="Z938" s="26" t="s">
        <v>80</v>
      </c>
      <c r="AA938" s="25"/>
      <c r="AB938" s="26" t="s">
        <v>80</v>
      </c>
      <c r="AD938" s="23" t="s">
        <v>2411</v>
      </c>
    </row>
    <row r="939" spans="2:30" ht="84.95">
      <c r="B939" s="21" t="s">
        <v>2610</v>
      </c>
      <c r="C939" s="20"/>
      <c r="D939" s="21" t="s">
        <v>2574</v>
      </c>
      <c r="E939" s="20"/>
      <c r="F939" s="23" t="s">
        <v>394</v>
      </c>
      <c r="H939" s="21" t="s">
        <v>2406</v>
      </c>
      <c r="J939" s="21" t="s">
        <v>411</v>
      </c>
      <c r="L939" s="21" t="s">
        <v>737</v>
      </c>
      <c r="N939" s="21" t="s">
        <v>236</v>
      </c>
      <c r="P939" s="21" t="s">
        <v>2405</v>
      </c>
      <c r="R939" s="21" t="s">
        <v>77</v>
      </c>
      <c r="S939" s="20"/>
      <c r="T939" s="76" t="s">
        <v>2416</v>
      </c>
      <c r="V939" s="26" t="s">
        <v>79</v>
      </c>
      <c r="W939" s="25"/>
      <c r="X939" s="26" t="s">
        <v>80</v>
      </c>
      <c r="Y939" s="60"/>
      <c r="Z939" s="26" t="s">
        <v>80</v>
      </c>
      <c r="AA939" s="25"/>
      <c r="AB939" s="26" t="s">
        <v>80</v>
      </c>
      <c r="AD939" s="23" t="s">
        <v>2411</v>
      </c>
    </row>
    <row r="940" spans="2:30" ht="84.95">
      <c r="B940" s="21" t="s">
        <v>2611</v>
      </c>
      <c r="C940" s="20"/>
      <c r="D940" s="21" t="s">
        <v>2574</v>
      </c>
      <c r="E940" s="20"/>
      <c r="F940" s="23" t="s">
        <v>394</v>
      </c>
      <c r="H940" s="21" t="s">
        <v>2406</v>
      </c>
      <c r="J940" s="21" t="s">
        <v>411</v>
      </c>
      <c r="L940" s="21" t="s">
        <v>737</v>
      </c>
      <c r="N940" s="21" t="s">
        <v>236</v>
      </c>
      <c r="P940" s="21" t="s">
        <v>2405</v>
      </c>
      <c r="R940" s="21" t="s">
        <v>77</v>
      </c>
      <c r="S940" s="20"/>
      <c r="T940" s="76" t="s">
        <v>2416</v>
      </c>
      <c r="U940" s="77"/>
      <c r="V940" s="26" t="s">
        <v>79</v>
      </c>
      <c r="W940" s="25"/>
      <c r="X940" s="26" t="s">
        <v>80</v>
      </c>
      <c r="Y940" s="60"/>
      <c r="Z940" s="26" t="s">
        <v>80</v>
      </c>
      <c r="AA940" s="25"/>
      <c r="AB940" s="26" t="s">
        <v>80</v>
      </c>
      <c r="AD940" s="23" t="s">
        <v>2411</v>
      </c>
    </row>
    <row r="941" spans="2:30" ht="84.95">
      <c r="B941" s="21" t="s">
        <v>2612</v>
      </c>
      <c r="C941" s="20"/>
      <c r="D941" s="21" t="s">
        <v>2574</v>
      </c>
      <c r="E941" s="20"/>
      <c r="F941" s="23" t="s">
        <v>394</v>
      </c>
      <c r="H941" s="21" t="s">
        <v>2406</v>
      </c>
      <c r="J941" s="21" t="s">
        <v>411</v>
      </c>
      <c r="L941" s="21" t="s">
        <v>737</v>
      </c>
      <c r="N941" s="21" t="s">
        <v>236</v>
      </c>
      <c r="P941" s="21" t="s">
        <v>2405</v>
      </c>
      <c r="R941" s="21" t="s">
        <v>77</v>
      </c>
      <c r="S941" s="20"/>
      <c r="T941" s="76" t="s">
        <v>2416</v>
      </c>
      <c r="V941" s="26" t="s">
        <v>79</v>
      </c>
      <c r="W941" s="25"/>
      <c r="X941" s="26" t="s">
        <v>80</v>
      </c>
      <c r="Y941" s="60"/>
      <c r="Z941" s="26" t="s">
        <v>80</v>
      </c>
      <c r="AA941" s="25"/>
      <c r="AB941" s="26" t="s">
        <v>80</v>
      </c>
      <c r="AD941" s="23" t="s">
        <v>2411</v>
      </c>
    </row>
    <row r="942" spans="2:30" ht="84.95">
      <c r="B942" s="21" t="s">
        <v>2613</v>
      </c>
      <c r="C942" s="20"/>
      <c r="D942" s="21" t="s">
        <v>2574</v>
      </c>
      <c r="E942" s="20"/>
      <c r="F942" s="23" t="s">
        <v>394</v>
      </c>
      <c r="H942" s="21" t="s">
        <v>2406</v>
      </c>
      <c r="J942" s="21" t="s">
        <v>411</v>
      </c>
      <c r="L942" s="21" t="s">
        <v>737</v>
      </c>
      <c r="N942" s="21" t="s">
        <v>236</v>
      </c>
      <c r="P942" s="21" t="s">
        <v>2405</v>
      </c>
      <c r="R942" s="21" t="s">
        <v>77</v>
      </c>
      <c r="S942" s="20"/>
      <c r="T942" s="76" t="s">
        <v>2416</v>
      </c>
      <c r="V942" s="26" t="s">
        <v>79</v>
      </c>
      <c r="W942" s="25"/>
      <c r="X942" s="26" t="s">
        <v>80</v>
      </c>
      <c r="Y942" s="60"/>
      <c r="Z942" s="26" t="s">
        <v>80</v>
      </c>
      <c r="AA942" s="25"/>
      <c r="AB942" s="26" t="s">
        <v>80</v>
      </c>
      <c r="AD942" s="23" t="s">
        <v>2411</v>
      </c>
    </row>
    <row r="943" spans="2:30" ht="84.95">
      <c r="B943" s="21" t="s">
        <v>2614</v>
      </c>
      <c r="C943" s="20"/>
      <c r="D943" s="21" t="s">
        <v>2574</v>
      </c>
      <c r="E943" s="20"/>
      <c r="F943" s="23" t="s">
        <v>394</v>
      </c>
      <c r="H943" s="21" t="s">
        <v>2406</v>
      </c>
      <c r="J943" s="21" t="s">
        <v>411</v>
      </c>
      <c r="L943" s="21" t="s">
        <v>737</v>
      </c>
      <c r="N943" s="21" t="s">
        <v>236</v>
      </c>
      <c r="P943" s="21" t="s">
        <v>2405</v>
      </c>
      <c r="R943" s="21" t="s">
        <v>77</v>
      </c>
      <c r="S943" s="20"/>
      <c r="T943" s="76" t="s">
        <v>2416</v>
      </c>
      <c r="V943" s="26" t="s">
        <v>79</v>
      </c>
      <c r="W943" s="25"/>
      <c r="X943" s="26" t="s">
        <v>80</v>
      </c>
      <c r="Y943" s="60"/>
      <c r="Z943" s="26" t="s">
        <v>80</v>
      </c>
      <c r="AA943" s="25"/>
      <c r="AB943" s="26" t="s">
        <v>80</v>
      </c>
      <c r="AD943" s="23" t="s">
        <v>2411</v>
      </c>
    </row>
    <row r="944" spans="2:30" ht="84.95">
      <c r="B944" s="21" t="s">
        <v>2615</v>
      </c>
      <c r="C944" s="20"/>
      <c r="D944" s="21" t="s">
        <v>2574</v>
      </c>
      <c r="E944" s="20"/>
      <c r="F944" s="23" t="s">
        <v>394</v>
      </c>
      <c r="H944" s="21" t="s">
        <v>2406</v>
      </c>
      <c r="J944" s="21" t="s">
        <v>411</v>
      </c>
      <c r="L944" s="21" t="s">
        <v>737</v>
      </c>
      <c r="N944" s="21" t="s">
        <v>236</v>
      </c>
      <c r="P944" s="21" t="s">
        <v>2405</v>
      </c>
      <c r="R944" s="21" t="s">
        <v>77</v>
      </c>
      <c r="S944" s="20"/>
      <c r="T944" s="76" t="s">
        <v>2416</v>
      </c>
      <c r="V944" s="26" t="s">
        <v>79</v>
      </c>
      <c r="W944" s="25"/>
      <c r="X944" s="26" t="s">
        <v>80</v>
      </c>
      <c r="Y944" s="60"/>
      <c r="Z944" s="26" t="s">
        <v>80</v>
      </c>
      <c r="AA944" s="25"/>
      <c r="AB944" s="26" t="s">
        <v>80</v>
      </c>
      <c r="AD944" s="23" t="s">
        <v>2411</v>
      </c>
    </row>
    <row r="945" spans="2:30" ht="84.95">
      <c r="B945" s="21" t="s">
        <v>2616</v>
      </c>
      <c r="C945" s="20"/>
      <c r="D945" s="21" t="s">
        <v>2574</v>
      </c>
      <c r="E945" s="20"/>
      <c r="F945" s="23" t="s">
        <v>394</v>
      </c>
      <c r="H945" s="21" t="s">
        <v>2406</v>
      </c>
      <c r="J945" s="21" t="s">
        <v>411</v>
      </c>
      <c r="L945" s="21" t="s">
        <v>737</v>
      </c>
      <c r="N945" s="21" t="s">
        <v>236</v>
      </c>
      <c r="P945" s="21" t="s">
        <v>2405</v>
      </c>
      <c r="R945" s="21" t="s">
        <v>77</v>
      </c>
      <c r="S945" s="20"/>
      <c r="T945" s="76" t="s">
        <v>2416</v>
      </c>
      <c r="V945" s="26" t="s">
        <v>79</v>
      </c>
      <c r="W945" s="25"/>
      <c r="X945" s="26" t="s">
        <v>80</v>
      </c>
      <c r="Y945" s="60"/>
      <c r="Z945" s="26" t="s">
        <v>80</v>
      </c>
      <c r="AA945" s="25"/>
      <c r="AB945" s="26" t="s">
        <v>80</v>
      </c>
      <c r="AD945" s="23" t="s">
        <v>2411</v>
      </c>
    </row>
    <row r="946" spans="2:30" ht="84.95">
      <c r="B946" s="21" t="s">
        <v>2617</v>
      </c>
      <c r="C946" s="20"/>
      <c r="D946" s="21" t="s">
        <v>2574</v>
      </c>
      <c r="E946" s="20"/>
      <c r="F946" s="23" t="s">
        <v>394</v>
      </c>
      <c r="H946" s="21" t="s">
        <v>2406</v>
      </c>
      <c r="J946" s="21" t="s">
        <v>411</v>
      </c>
      <c r="L946" s="21" t="s">
        <v>737</v>
      </c>
      <c r="N946" s="21" t="s">
        <v>236</v>
      </c>
      <c r="P946" s="21" t="s">
        <v>2405</v>
      </c>
      <c r="R946" s="21" t="s">
        <v>77</v>
      </c>
      <c r="S946" s="20"/>
      <c r="T946" s="76" t="s">
        <v>2416</v>
      </c>
      <c r="U946" s="77"/>
      <c r="V946" s="26" t="s">
        <v>79</v>
      </c>
      <c r="W946" s="25"/>
      <c r="X946" s="26" t="s">
        <v>80</v>
      </c>
      <c r="Y946" s="60"/>
      <c r="Z946" s="26" t="s">
        <v>80</v>
      </c>
      <c r="AA946" s="25"/>
      <c r="AB946" s="26" t="s">
        <v>80</v>
      </c>
      <c r="AD946" s="23" t="s">
        <v>2411</v>
      </c>
    </row>
    <row r="947" spans="2:30" ht="84.95">
      <c r="B947" s="21" t="s">
        <v>2618</v>
      </c>
      <c r="C947" s="20"/>
      <c r="D947" s="21" t="s">
        <v>2574</v>
      </c>
      <c r="E947" s="20"/>
      <c r="F947" s="23" t="s">
        <v>394</v>
      </c>
      <c r="H947" s="21" t="s">
        <v>2406</v>
      </c>
      <c r="J947" s="21" t="s">
        <v>411</v>
      </c>
      <c r="L947" s="21" t="s">
        <v>737</v>
      </c>
      <c r="N947" s="21" t="s">
        <v>236</v>
      </c>
      <c r="P947" s="21" t="s">
        <v>2405</v>
      </c>
      <c r="R947" s="21" t="s">
        <v>77</v>
      </c>
      <c r="S947" s="20"/>
      <c r="T947" s="76" t="s">
        <v>2416</v>
      </c>
      <c r="U947" s="77"/>
      <c r="V947" s="26" t="s">
        <v>79</v>
      </c>
      <c r="W947" s="25"/>
      <c r="X947" s="26" t="s">
        <v>80</v>
      </c>
      <c r="Y947" s="60"/>
      <c r="Z947" s="26" t="s">
        <v>80</v>
      </c>
      <c r="AA947" s="25"/>
      <c r="AB947" s="26" t="s">
        <v>80</v>
      </c>
      <c r="AD947" s="23" t="s">
        <v>2411</v>
      </c>
    </row>
    <row r="948" spans="2:30" ht="84.95">
      <c r="B948" s="21" t="s">
        <v>2619</v>
      </c>
      <c r="C948" s="20"/>
      <c r="D948" s="21" t="s">
        <v>2574</v>
      </c>
      <c r="E948" s="20"/>
      <c r="F948" s="23" t="s">
        <v>394</v>
      </c>
      <c r="H948" s="21" t="s">
        <v>2406</v>
      </c>
      <c r="J948" s="21" t="s">
        <v>411</v>
      </c>
      <c r="L948" s="21" t="s">
        <v>737</v>
      </c>
      <c r="N948" s="21" t="s">
        <v>236</v>
      </c>
      <c r="P948" s="21" t="s">
        <v>2405</v>
      </c>
      <c r="R948" s="21" t="s">
        <v>77</v>
      </c>
      <c r="S948" s="20"/>
      <c r="T948" s="76" t="s">
        <v>2416</v>
      </c>
      <c r="U948" s="77"/>
      <c r="V948" s="26" t="s">
        <v>79</v>
      </c>
      <c r="W948" s="25"/>
      <c r="X948" s="26" t="s">
        <v>80</v>
      </c>
      <c r="Y948" s="60"/>
      <c r="Z948" s="26" t="s">
        <v>80</v>
      </c>
      <c r="AA948" s="25"/>
      <c r="AB948" s="26" t="s">
        <v>80</v>
      </c>
      <c r="AD948" s="23" t="s">
        <v>2411</v>
      </c>
    </row>
    <row r="949" spans="2:30" ht="84.95">
      <c r="B949" s="21" t="s">
        <v>2620</v>
      </c>
      <c r="C949" s="20"/>
      <c r="D949" s="21" t="s">
        <v>2574</v>
      </c>
      <c r="E949" s="20"/>
      <c r="F949" s="23" t="s">
        <v>394</v>
      </c>
      <c r="H949" s="21" t="s">
        <v>2406</v>
      </c>
      <c r="J949" s="21" t="s">
        <v>411</v>
      </c>
      <c r="L949" s="21" t="s">
        <v>737</v>
      </c>
      <c r="N949" s="21" t="s">
        <v>236</v>
      </c>
      <c r="P949" s="21" t="s">
        <v>2405</v>
      </c>
      <c r="R949" s="21" t="s">
        <v>77</v>
      </c>
      <c r="S949" s="20"/>
      <c r="T949" s="76" t="s">
        <v>2416</v>
      </c>
      <c r="V949" s="26" t="s">
        <v>79</v>
      </c>
      <c r="W949" s="25"/>
      <c r="X949" s="26" t="s">
        <v>80</v>
      </c>
      <c r="Y949" s="60"/>
      <c r="Z949" s="26" t="s">
        <v>80</v>
      </c>
      <c r="AA949" s="25"/>
      <c r="AB949" s="26" t="s">
        <v>80</v>
      </c>
      <c r="AD949" s="23" t="s">
        <v>2411</v>
      </c>
    </row>
    <row r="950" spans="2:30" ht="84.95">
      <c r="B950" s="21" t="s">
        <v>2621</v>
      </c>
      <c r="C950" s="20"/>
      <c r="D950" s="21" t="s">
        <v>2574</v>
      </c>
      <c r="E950" s="20"/>
      <c r="F950" s="23" t="s">
        <v>394</v>
      </c>
      <c r="H950" s="21" t="s">
        <v>2406</v>
      </c>
      <c r="J950" s="21" t="s">
        <v>411</v>
      </c>
      <c r="L950" s="21" t="s">
        <v>737</v>
      </c>
      <c r="N950" s="21" t="s">
        <v>236</v>
      </c>
      <c r="P950" s="21" t="s">
        <v>2405</v>
      </c>
      <c r="R950" s="21" t="s">
        <v>77</v>
      </c>
      <c r="S950" s="20"/>
      <c r="T950" s="76" t="s">
        <v>2416</v>
      </c>
      <c r="V950" s="26" t="s">
        <v>79</v>
      </c>
      <c r="W950" s="25"/>
      <c r="X950" s="26" t="s">
        <v>80</v>
      </c>
      <c r="Y950" s="60"/>
      <c r="Z950" s="26" t="s">
        <v>80</v>
      </c>
      <c r="AA950" s="25"/>
      <c r="AB950" s="26" t="s">
        <v>80</v>
      </c>
      <c r="AD950" s="23" t="s">
        <v>2411</v>
      </c>
    </row>
    <row r="951" spans="2:30" ht="84.95">
      <c r="B951" s="21" t="s">
        <v>2622</v>
      </c>
      <c r="C951" s="20"/>
      <c r="D951" s="21" t="s">
        <v>2574</v>
      </c>
      <c r="E951" s="20"/>
      <c r="F951" s="23" t="s">
        <v>394</v>
      </c>
      <c r="H951" s="21" t="s">
        <v>2406</v>
      </c>
      <c r="J951" s="21" t="s">
        <v>411</v>
      </c>
      <c r="L951" s="21" t="s">
        <v>737</v>
      </c>
      <c r="N951" s="21" t="s">
        <v>236</v>
      </c>
      <c r="P951" s="21" t="s">
        <v>2405</v>
      </c>
      <c r="R951" s="21" t="s">
        <v>77</v>
      </c>
      <c r="S951" s="20"/>
      <c r="T951" s="76" t="s">
        <v>2416</v>
      </c>
      <c r="U951" s="77"/>
      <c r="V951" s="26" t="s">
        <v>79</v>
      </c>
      <c r="W951" s="25"/>
      <c r="X951" s="26" t="s">
        <v>80</v>
      </c>
      <c r="Y951" s="60"/>
      <c r="Z951" s="26" t="s">
        <v>80</v>
      </c>
      <c r="AA951" s="25"/>
      <c r="AB951" s="26" t="s">
        <v>80</v>
      </c>
      <c r="AD951" s="23" t="s">
        <v>2411</v>
      </c>
    </row>
    <row r="952" spans="2:30" ht="84.95">
      <c r="B952" s="21" t="s">
        <v>2623</v>
      </c>
      <c r="C952" s="20"/>
      <c r="D952" s="21" t="s">
        <v>2624</v>
      </c>
      <c r="E952" s="20"/>
      <c r="F952" s="23" t="s">
        <v>394</v>
      </c>
      <c r="H952" s="21" t="s">
        <v>2406</v>
      </c>
      <c r="J952" s="21" t="s">
        <v>411</v>
      </c>
      <c r="L952" s="21" t="s">
        <v>737</v>
      </c>
      <c r="N952" s="21" t="s">
        <v>236</v>
      </c>
      <c r="P952" s="21" t="s">
        <v>2405</v>
      </c>
      <c r="R952" s="21" t="s">
        <v>77</v>
      </c>
      <c r="S952" s="20"/>
      <c r="T952" s="76" t="s">
        <v>2416</v>
      </c>
      <c r="U952" s="77"/>
      <c r="V952" s="26" t="s">
        <v>79</v>
      </c>
      <c r="W952" s="25"/>
      <c r="X952" s="26" t="s">
        <v>80</v>
      </c>
      <c r="Y952" s="60"/>
      <c r="Z952" s="26" t="s">
        <v>80</v>
      </c>
      <c r="AA952" s="25"/>
      <c r="AB952" s="26" t="s">
        <v>80</v>
      </c>
      <c r="AD952" s="23" t="s">
        <v>2411</v>
      </c>
    </row>
    <row r="953" spans="2:30" ht="84.95">
      <c r="B953" s="21" t="s">
        <v>2625</v>
      </c>
      <c r="C953" s="20"/>
      <c r="D953" s="21" t="s">
        <v>2624</v>
      </c>
      <c r="E953" s="20"/>
      <c r="F953" s="23" t="s">
        <v>394</v>
      </c>
      <c r="H953" s="21" t="s">
        <v>2406</v>
      </c>
      <c r="J953" s="21" t="s">
        <v>411</v>
      </c>
      <c r="L953" s="21" t="s">
        <v>737</v>
      </c>
      <c r="N953" s="21" t="s">
        <v>236</v>
      </c>
      <c r="P953" s="21" t="s">
        <v>2405</v>
      </c>
      <c r="R953" s="21" t="s">
        <v>77</v>
      </c>
      <c r="S953" s="20"/>
      <c r="T953" s="76" t="s">
        <v>2416</v>
      </c>
      <c r="V953" s="26" t="s">
        <v>79</v>
      </c>
      <c r="W953" s="25"/>
      <c r="X953" s="26" t="s">
        <v>80</v>
      </c>
      <c r="Y953" s="60"/>
      <c r="Z953" s="26" t="s">
        <v>80</v>
      </c>
      <c r="AA953" s="25"/>
      <c r="AB953" s="26" t="s">
        <v>80</v>
      </c>
      <c r="AD953" s="23" t="s">
        <v>2411</v>
      </c>
    </row>
    <row r="954" spans="2:30" ht="84.95">
      <c r="B954" s="21" t="s">
        <v>2626</v>
      </c>
      <c r="C954" s="20"/>
      <c r="D954" s="21" t="s">
        <v>2624</v>
      </c>
      <c r="E954" s="20"/>
      <c r="F954" s="23" t="s">
        <v>394</v>
      </c>
      <c r="H954" s="21" t="s">
        <v>2406</v>
      </c>
      <c r="J954" s="21" t="s">
        <v>411</v>
      </c>
      <c r="L954" s="21" t="s">
        <v>737</v>
      </c>
      <c r="N954" s="21" t="s">
        <v>236</v>
      </c>
      <c r="P954" s="21" t="s">
        <v>2405</v>
      </c>
      <c r="R954" s="21" t="s">
        <v>77</v>
      </c>
      <c r="S954" s="20"/>
      <c r="T954" s="76" t="s">
        <v>2416</v>
      </c>
      <c r="U954" s="77"/>
      <c r="V954" s="26" t="s">
        <v>79</v>
      </c>
      <c r="W954" s="25"/>
      <c r="X954" s="26" t="s">
        <v>80</v>
      </c>
      <c r="Y954" s="60"/>
      <c r="Z954" s="26" t="s">
        <v>80</v>
      </c>
      <c r="AA954" s="25"/>
      <c r="AB954" s="26" t="s">
        <v>80</v>
      </c>
      <c r="AD954" s="23" t="s">
        <v>2411</v>
      </c>
    </row>
    <row r="955" spans="2:30" ht="84.95">
      <c r="B955" s="21" t="s">
        <v>2627</v>
      </c>
      <c r="C955" s="20"/>
      <c r="D955" s="21" t="s">
        <v>2624</v>
      </c>
      <c r="E955" s="20"/>
      <c r="F955" s="23" t="s">
        <v>394</v>
      </c>
      <c r="H955" s="21" t="s">
        <v>2406</v>
      </c>
      <c r="J955" s="21" t="s">
        <v>411</v>
      </c>
      <c r="L955" s="21" t="s">
        <v>737</v>
      </c>
      <c r="N955" s="21" t="s">
        <v>236</v>
      </c>
      <c r="P955" s="21" t="s">
        <v>2405</v>
      </c>
      <c r="R955" s="21" t="s">
        <v>77</v>
      </c>
      <c r="S955" s="20"/>
      <c r="T955" s="76" t="s">
        <v>2416</v>
      </c>
      <c r="U955" s="77"/>
      <c r="V955" s="26" t="s">
        <v>79</v>
      </c>
      <c r="W955" s="25"/>
      <c r="X955" s="26" t="s">
        <v>80</v>
      </c>
      <c r="Y955" s="60"/>
      <c r="Z955" s="26" t="s">
        <v>80</v>
      </c>
      <c r="AA955" s="25"/>
      <c r="AB955" s="26" t="s">
        <v>80</v>
      </c>
      <c r="AD955" s="23" t="s">
        <v>2411</v>
      </c>
    </row>
    <row r="956" spans="2:30" ht="84.95">
      <c r="B956" s="21" t="s">
        <v>2628</v>
      </c>
      <c r="C956" s="20"/>
      <c r="D956" s="21" t="s">
        <v>2624</v>
      </c>
      <c r="E956" s="20"/>
      <c r="F956" s="23" t="s">
        <v>394</v>
      </c>
      <c r="H956" s="21" t="s">
        <v>2406</v>
      </c>
      <c r="J956" s="21" t="s">
        <v>411</v>
      </c>
      <c r="L956" s="21" t="s">
        <v>737</v>
      </c>
      <c r="N956" s="21" t="s">
        <v>236</v>
      </c>
      <c r="P956" s="21" t="s">
        <v>2405</v>
      </c>
      <c r="R956" s="21" t="s">
        <v>77</v>
      </c>
      <c r="S956" s="20"/>
      <c r="T956" s="76" t="s">
        <v>2416</v>
      </c>
      <c r="U956" s="77"/>
      <c r="V956" s="26" t="s">
        <v>79</v>
      </c>
      <c r="W956" s="25"/>
      <c r="X956" s="26" t="s">
        <v>80</v>
      </c>
      <c r="Y956" s="60"/>
      <c r="Z956" s="26" t="s">
        <v>80</v>
      </c>
      <c r="AA956" s="25"/>
      <c r="AB956" s="26" t="s">
        <v>80</v>
      </c>
      <c r="AD956" s="23" t="s">
        <v>2411</v>
      </c>
    </row>
    <row r="957" spans="2:30" ht="84.95">
      <c r="B957" s="21" t="s">
        <v>2629</v>
      </c>
      <c r="C957" s="20"/>
      <c r="D957" s="21" t="s">
        <v>2624</v>
      </c>
      <c r="E957" s="20"/>
      <c r="F957" s="23" t="s">
        <v>394</v>
      </c>
      <c r="H957" s="21" t="s">
        <v>2406</v>
      </c>
      <c r="J957" s="21" t="s">
        <v>411</v>
      </c>
      <c r="L957" s="21" t="s">
        <v>737</v>
      </c>
      <c r="N957" s="21" t="s">
        <v>236</v>
      </c>
      <c r="P957" s="21" t="s">
        <v>2405</v>
      </c>
      <c r="R957" s="21" t="s">
        <v>77</v>
      </c>
      <c r="S957" s="20"/>
      <c r="T957" s="76" t="s">
        <v>2416</v>
      </c>
      <c r="V957" s="26" t="s">
        <v>79</v>
      </c>
      <c r="W957" s="25"/>
      <c r="X957" s="26" t="s">
        <v>80</v>
      </c>
      <c r="Y957" s="60"/>
      <c r="Z957" s="26" t="s">
        <v>80</v>
      </c>
      <c r="AA957" s="25"/>
      <c r="AB957" s="26" t="s">
        <v>80</v>
      </c>
      <c r="AD957" s="23" t="s">
        <v>2411</v>
      </c>
    </row>
    <row r="958" spans="2:30" ht="84.95">
      <c r="B958" s="21" t="s">
        <v>2630</v>
      </c>
      <c r="C958" s="20"/>
      <c r="D958" s="21" t="s">
        <v>2624</v>
      </c>
      <c r="E958" s="20"/>
      <c r="F958" s="23" t="s">
        <v>394</v>
      </c>
      <c r="H958" s="21" t="s">
        <v>2406</v>
      </c>
      <c r="J958" s="21" t="s">
        <v>411</v>
      </c>
      <c r="L958" s="21" t="s">
        <v>737</v>
      </c>
      <c r="N958" s="21" t="s">
        <v>236</v>
      </c>
      <c r="P958" s="21" t="s">
        <v>2405</v>
      </c>
      <c r="R958" s="21" t="s">
        <v>77</v>
      </c>
      <c r="S958" s="20"/>
      <c r="T958" s="76" t="s">
        <v>2416</v>
      </c>
      <c r="U958" s="77"/>
      <c r="V958" s="26" t="s">
        <v>79</v>
      </c>
      <c r="W958" s="25"/>
      <c r="X958" s="26" t="s">
        <v>80</v>
      </c>
      <c r="Y958" s="60"/>
      <c r="Z958" s="26" t="s">
        <v>80</v>
      </c>
      <c r="AA958" s="25"/>
      <c r="AB958" s="26" t="s">
        <v>80</v>
      </c>
      <c r="AD958" s="23" t="s">
        <v>2411</v>
      </c>
    </row>
    <row r="959" spans="2:30" ht="84.95">
      <c r="B959" s="21" t="s">
        <v>2631</v>
      </c>
      <c r="C959" s="20"/>
      <c r="D959" s="21" t="s">
        <v>2624</v>
      </c>
      <c r="E959" s="20"/>
      <c r="F959" s="23" t="s">
        <v>394</v>
      </c>
      <c r="H959" s="21" t="s">
        <v>2406</v>
      </c>
      <c r="J959" s="21" t="s">
        <v>411</v>
      </c>
      <c r="L959" s="21" t="s">
        <v>737</v>
      </c>
      <c r="N959" s="21" t="s">
        <v>236</v>
      </c>
      <c r="P959" s="21" t="s">
        <v>2405</v>
      </c>
      <c r="R959" s="21" t="s">
        <v>77</v>
      </c>
      <c r="S959" s="20"/>
      <c r="T959" s="76" t="s">
        <v>2416</v>
      </c>
      <c r="V959" s="26" t="s">
        <v>79</v>
      </c>
      <c r="W959" s="25"/>
      <c r="X959" s="26" t="s">
        <v>80</v>
      </c>
      <c r="Y959" s="60"/>
      <c r="Z959" s="26" t="s">
        <v>80</v>
      </c>
      <c r="AA959" s="25"/>
      <c r="AB959" s="26" t="s">
        <v>80</v>
      </c>
      <c r="AD959" s="23" t="s">
        <v>2411</v>
      </c>
    </row>
    <row r="960" spans="2:30" ht="84.95">
      <c r="B960" s="21" t="s">
        <v>2632</v>
      </c>
      <c r="C960" s="20"/>
      <c r="D960" s="21" t="s">
        <v>2624</v>
      </c>
      <c r="E960" s="20"/>
      <c r="F960" s="23" t="s">
        <v>394</v>
      </c>
      <c r="H960" s="21" t="s">
        <v>2406</v>
      </c>
      <c r="J960" s="21" t="s">
        <v>411</v>
      </c>
      <c r="L960" s="21" t="s">
        <v>737</v>
      </c>
      <c r="N960" s="21" t="s">
        <v>236</v>
      </c>
      <c r="P960" s="21" t="s">
        <v>2405</v>
      </c>
      <c r="R960" s="21" t="s">
        <v>77</v>
      </c>
      <c r="S960" s="20"/>
      <c r="T960" s="76" t="s">
        <v>2416</v>
      </c>
      <c r="U960" s="77"/>
      <c r="V960" s="26" t="s">
        <v>79</v>
      </c>
      <c r="W960" s="25"/>
      <c r="X960" s="26" t="s">
        <v>80</v>
      </c>
      <c r="Y960" s="60"/>
      <c r="Z960" s="26" t="s">
        <v>80</v>
      </c>
      <c r="AA960" s="25"/>
      <c r="AB960" s="26" t="s">
        <v>80</v>
      </c>
      <c r="AD960" s="23" t="s">
        <v>2411</v>
      </c>
    </row>
    <row r="961" spans="2:30" ht="84.95">
      <c r="B961" s="21" t="s">
        <v>2633</v>
      </c>
      <c r="C961" s="20"/>
      <c r="D961" s="21" t="s">
        <v>2624</v>
      </c>
      <c r="E961" s="20"/>
      <c r="F961" s="23" t="s">
        <v>394</v>
      </c>
      <c r="H961" s="21" t="s">
        <v>2406</v>
      </c>
      <c r="J961" s="21" t="s">
        <v>411</v>
      </c>
      <c r="L961" s="21" t="s">
        <v>737</v>
      </c>
      <c r="N961" s="21" t="s">
        <v>236</v>
      </c>
      <c r="P961" s="21" t="s">
        <v>2405</v>
      </c>
      <c r="R961" s="21" t="s">
        <v>77</v>
      </c>
      <c r="S961" s="20"/>
      <c r="T961" s="76" t="s">
        <v>2416</v>
      </c>
      <c r="U961" s="77"/>
      <c r="V961" s="26" t="s">
        <v>79</v>
      </c>
      <c r="W961" s="25"/>
      <c r="X961" s="26" t="s">
        <v>80</v>
      </c>
      <c r="Y961" s="60"/>
      <c r="Z961" s="26" t="s">
        <v>80</v>
      </c>
      <c r="AA961" s="25"/>
      <c r="AB961" s="26" t="s">
        <v>80</v>
      </c>
      <c r="AD961" s="23" t="s">
        <v>2411</v>
      </c>
    </row>
    <row r="962" spans="2:30" ht="84.95">
      <c r="B962" s="21" t="s">
        <v>2634</v>
      </c>
      <c r="C962" s="20"/>
      <c r="D962" s="21" t="s">
        <v>2624</v>
      </c>
      <c r="E962" s="20"/>
      <c r="F962" s="23" t="s">
        <v>394</v>
      </c>
      <c r="H962" s="21" t="s">
        <v>2406</v>
      </c>
      <c r="J962" s="21" t="s">
        <v>411</v>
      </c>
      <c r="L962" s="21" t="s">
        <v>737</v>
      </c>
      <c r="N962" s="21" t="s">
        <v>236</v>
      </c>
      <c r="P962" s="21" t="s">
        <v>2405</v>
      </c>
      <c r="R962" s="21" t="s">
        <v>77</v>
      </c>
      <c r="S962" s="20"/>
      <c r="T962" s="76" t="s">
        <v>2416</v>
      </c>
      <c r="V962" s="26" t="s">
        <v>79</v>
      </c>
      <c r="W962" s="25"/>
      <c r="X962" s="26" t="s">
        <v>80</v>
      </c>
      <c r="Y962" s="60"/>
      <c r="Z962" s="26" t="s">
        <v>80</v>
      </c>
      <c r="AA962" s="25"/>
      <c r="AB962" s="26" t="s">
        <v>80</v>
      </c>
      <c r="AD962" s="23" t="s">
        <v>2411</v>
      </c>
    </row>
    <row r="963" spans="2:30" ht="84.95">
      <c r="B963" s="21" t="s">
        <v>2635</v>
      </c>
      <c r="C963" s="20"/>
      <c r="D963" s="21" t="s">
        <v>2624</v>
      </c>
      <c r="E963" s="20"/>
      <c r="F963" s="23" t="s">
        <v>394</v>
      </c>
      <c r="H963" s="21" t="s">
        <v>2406</v>
      </c>
      <c r="J963" s="21" t="s">
        <v>411</v>
      </c>
      <c r="L963" s="21" t="s">
        <v>737</v>
      </c>
      <c r="N963" s="21" t="s">
        <v>236</v>
      </c>
      <c r="P963" s="21" t="s">
        <v>2405</v>
      </c>
      <c r="R963" s="21" t="s">
        <v>77</v>
      </c>
      <c r="S963" s="20"/>
      <c r="T963" s="76" t="s">
        <v>2416</v>
      </c>
      <c r="V963" s="26" t="s">
        <v>79</v>
      </c>
      <c r="W963" s="25"/>
      <c r="X963" s="26" t="s">
        <v>80</v>
      </c>
      <c r="Y963" s="60"/>
      <c r="Z963" s="26" t="s">
        <v>80</v>
      </c>
      <c r="AA963" s="25"/>
      <c r="AB963" s="26" t="s">
        <v>80</v>
      </c>
      <c r="AD963" s="23" t="s">
        <v>2411</v>
      </c>
    </row>
    <row r="964" spans="2:30" ht="84.95">
      <c r="B964" s="21" t="s">
        <v>2636</v>
      </c>
      <c r="C964" s="20"/>
      <c r="D964" s="21" t="s">
        <v>2624</v>
      </c>
      <c r="E964" s="20"/>
      <c r="F964" s="23" t="s">
        <v>394</v>
      </c>
      <c r="H964" s="21" t="s">
        <v>2406</v>
      </c>
      <c r="J964" s="21" t="s">
        <v>411</v>
      </c>
      <c r="L964" s="21" t="s">
        <v>737</v>
      </c>
      <c r="N964" s="21" t="s">
        <v>236</v>
      </c>
      <c r="P964" s="21" t="s">
        <v>2405</v>
      </c>
      <c r="R964" s="21" t="s">
        <v>77</v>
      </c>
      <c r="S964" s="20"/>
      <c r="T964" s="76" t="s">
        <v>2416</v>
      </c>
      <c r="U964" s="77"/>
      <c r="V964" s="26" t="s">
        <v>79</v>
      </c>
      <c r="W964" s="25"/>
      <c r="X964" s="26" t="s">
        <v>80</v>
      </c>
      <c r="Y964" s="60"/>
      <c r="Z964" s="26" t="s">
        <v>80</v>
      </c>
      <c r="AA964" s="25"/>
      <c r="AB964" s="26" t="s">
        <v>80</v>
      </c>
      <c r="AD964" s="23" t="s">
        <v>2411</v>
      </c>
    </row>
    <row r="965" spans="2:30" ht="84.95">
      <c r="B965" s="21" t="s">
        <v>2637</v>
      </c>
      <c r="C965" s="20"/>
      <c r="D965" s="21" t="s">
        <v>2624</v>
      </c>
      <c r="E965" s="20"/>
      <c r="F965" s="23" t="s">
        <v>394</v>
      </c>
      <c r="H965" s="21" t="s">
        <v>2406</v>
      </c>
      <c r="J965" s="21" t="s">
        <v>411</v>
      </c>
      <c r="L965" s="21" t="s">
        <v>737</v>
      </c>
      <c r="N965" s="21" t="s">
        <v>236</v>
      </c>
      <c r="P965" s="21" t="s">
        <v>2405</v>
      </c>
      <c r="R965" s="21" t="s">
        <v>77</v>
      </c>
      <c r="S965" s="20"/>
      <c r="T965" s="76" t="s">
        <v>2416</v>
      </c>
      <c r="V965" s="26" t="s">
        <v>79</v>
      </c>
      <c r="W965" s="25"/>
      <c r="X965" s="26" t="s">
        <v>80</v>
      </c>
      <c r="Y965" s="60"/>
      <c r="Z965" s="26" t="s">
        <v>80</v>
      </c>
      <c r="AA965" s="25"/>
      <c r="AB965" s="26" t="s">
        <v>80</v>
      </c>
      <c r="AD965" s="23" t="s">
        <v>2411</v>
      </c>
    </row>
    <row r="966" spans="2:30" ht="84.95">
      <c r="B966" s="21" t="s">
        <v>2638</v>
      </c>
      <c r="C966" s="20"/>
      <c r="D966" s="21" t="s">
        <v>2624</v>
      </c>
      <c r="E966" s="20"/>
      <c r="F966" s="23" t="s">
        <v>394</v>
      </c>
      <c r="H966" s="21" t="s">
        <v>2406</v>
      </c>
      <c r="J966" s="21" t="s">
        <v>411</v>
      </c>
      <c r="L966" s="21" t="s">
        <v>737</v>
      </c>
      <c r="N966" s="21" t="s">
        <v>236</v>
      </c>
      <c r="P966" s="21" t="s">
        <v>2405</v>
      </c>
      <c r="R966" s="21" t="s">
        <v>77</v>
      </c>
      <c r="S966" s="20"/>
      <c r="T966" s="76" t="s">
        <v>2416</v>
      </c>
      <c r="U966" s="77"/>
      <c r="V966" s="26" t="s">
        <v>79</v>
      </c>
      <c r="W966" s="25"/>
      <c r="X966" s="26" t="s">
        <v>80</v>
      </c>
      <c r="Y966" s="60"/>
      <c r="Z966" s="26" t="s">
        <v>80</v>
      </c>
      <c r="AA966" s="25"/>
      <c r="AB966" s="26" t="s">
        <v>80</v>
      </c>
      <c r="AD966" s="23" t="s">
        <v>2411</v>
      </c>
    </row>
    <row r="967" spans="2:30" ht="84.95">
      <c r="B967" s="21" t="s">
        <v>2639</v>
      </c>
      <c r="C967" s="20"/>
      <c r="D967" s="21" t="s">
        <v>2624</v>
      </c>
      <c r="E967" s="20"/>
      <c r="F967" s="23" t="s">
        <v>394</v>
      </c>
      <c r="H967" s="21" t="s">
        <v>2406</v>
      </c>
      <c r="J967" s="21" t="s">
        <v>411</v>
      </c>
      <c r="L967" s="21" t="s">
        <v>737</v>
      </c>
      <c r="N967" s="21" t="s">
        <v>236</v>
      </c>
      <c r="P967" s="21" t="s">
        <v>2405</v>
      </c>
      <c r="R967" s="21" t="s">
        <v>77</v>
      </c>
      <c r="S967" s="20"/>
      <c r="T967" s="76" t="s">
        <v>2416</v>
      </c>
      <c r="V967" s="26" t="s">
        <v>79</v>
      </c>
      <c r="W967" s="25"/>
      <c r="X967" s="26" t="s">
        <v>80</v>
      </c>
      <c r="Y967" s="60"/>
      <c r="Z967" s="26" t="s">
        <v>80</v>
      </c>
      <c r="AA967" s="25"/>
      <c r="AB967" s="26" t="s">
        <v>80</v>
      </c>
      <c r="AD967" s="23" t="s">
        <v>2411</v>
      </c>
    </row>
    <row r="968" spans="2:30" ht="84.95">
      <c r="B968" s="21" t="s">
        <v>2640</v>
      </c>
      <c r="C968" s="20"/>
      <c r="D968" s="21" t="s">
        <v>2624</v>
      </c>
      <c r="E968" s="20"/>
      <c r="F968" s="23" t="s">
        <v>394</v>
      </c>
      <c r="H968" s="21" t="s">
        <v>2406</v>
      </c>
      <c r="J968" s="21" t="s">
        <v>411</v>
      </c>
      <c r="L968" s="21" t="s">
        <v>737</v>
      </c>
      <c r="N968" s="21" t="s">
        <v>236</v>
      </c>
      <c r="P968" s="21" t="s">
        <v>2405</v>
      </c>
      <c r="R968" s="21" t="s">
        <v>77</v>
      </c>
      <c r="S968" s="20"/>
      <c r="T968" s="76" t="s">
        <v>2416</v>
      </c>
      <c r="U968" s="77"/>
      <c r="V968" s="26" t="s">
        <v>79</v>
      </c>
      <c r="W968" s="25"/>
      <c r="X968" s="26" t="s">
        <v>80</v>
      </c>
      <c r="Y968" s="60"/>
      <c r="Z968" s="26" t="s">
        <v>80</v>
      </c>
      <c r="AA968" s="25"/>
      <c r="AB968" s="26" t="s">
        <v>80</v>
      </c>
      <c r="AD968" s="23" t="s">
        <v>2411</v>
      </c>
    </row>
    <row r="969" spans="2:30" ht="84.95">
      <c r="B969" s="21" t="s">
        <v>2641</v>
      </c>
      <c r="C969" s="20"/>
      <c r="D969" s="21" t="s">
        <v>2624</v>
      </c>
      <c r="E969" s="20"/>
      <c r="F969" s="23" t="s">
        <v>394</v>
      </c>
      <c r="H969" s="21" t="s">
        <v>2406</v>
      </c>
      <c r="J969" s="21" t="s">
        <v>411</v>
      </c>
      <c r="L969" s="21" t="s">
        <v>737</v>
      </c>
      <c r="N969" s="21" t="s">
        <v>236</v>
      </c>
      <c r="P969" s="21" t="s">
        <v>2405</v>
      </c>
      <c r="R969" s="21" t="s">
        <v>77</v>
      </c>
      <c r="S969" s="20"/>
      <c r="T969" s="76" t="s">
        <v>2416</v>
      </c>
      <c r="V969" s="26" t="s">
        <v>79</v>
      </c>
      <c r="W969" s="25"/>
      <c r="X969" s="26" t="s">
        <v>80</v>
      </c>
      <c r="Y969" s="60"/>
      <c r="Z969" s="26" t="s">
        <v>80</v>
      </c>
      <c r="AA969" s="25"/>
      <c r="AB969" s="26" t="s">
        <v>80</v>
      </c>
      <c r="AD969" s="23" t="s">
        <v>2411</v>
      </c>
    </row>
    <row r="970" spans="2:30" ht="84.95">
      <c r="B970" s="21" t="s">
        <v>2642</v>
      </c>
      <c r="C970" s="20"/>
      <c r="D970" s="21" t="s">
        <v>2624</v>
      </c>
      <c r="E970" s="20"/>
      <c r="F970" s="23" t="s">
        <v>394</v>
      </c>
      <c r="H970" s="21" t="s">
        <v>2406</v>
      </c>
      <c r="J970" s="21" t="s">
        <v>411</v>
      </c>
      <c r="L970" s="21" t="s">
        <v>737</v>
      </c>
      <c r="N970" s="21" t="s">
        <v>236</v>
      </c>
      <c r="P970" s="21" t="s">
        <v>2405</v>
      </c>
      <c r="R970" s="21" t="s">
        <v>77</v>
      </c>
      <c r="S970" s="20"/>
      <c r="T970" s="76" t="s">
        <v>2416</v>
      </c>
      <c r="V970" s="26" t="s">
        <v>79</v>
      </c>
      <c r="W970" s="25"/>
      <c r="X970" s="26" t="s">
        <v>80</v>
      </c>
      <c r="Y970" s="60"/>
      <c r="Z970" s="26" t="s">
        <v>80</v>
      </c>
      <c r="AA970" s="25"/>
      <c r="AB970" s="26" t="s">
        <v>80</v>
      </c>
      <c r="AD970" s="23" t="s">
        <v>2411</v>
      </c>
    </row>
    <row r="971" spans="2:30" ht="84.95">
      <c r="B971" s="21" t="s">
        <v>2643</v>
      </c>
      <c r="C971" s="20"/>
      <c r="D971" s="21" t="s">
        <v>2624</v>
      </c>
      <c r="E971" s="20"/>
      <c r="F971" s="23" t="s">
        <v>394</v>
      </c>
      <c r="H971" s="21" t="s">
        <v>2406</v>
      </c>
      <c r="J971" s="21" t="s">
        <v>411</v>
      </c>
      <c r="L971" s="21" t="s">
        <v>737</v>
      </c>
      <c r="N971" s="21" t="s">
        <v>236</v>
      </c>
      <c r="P971" s="21" t="s">
        <v>2405</v>
      </c>
      <c r="R971" s="21" t="s">
        <v>77</v>
      </c>
      <c r="S971" s="20"/>
      <c r="T971" s="76" t="s">
        <v>2416</v>
      </c>
      <c r="V971" s="26" t="s">
        <v>79</v>
      </c>
      <c r="W971" s="25"/>
      <c r="X971" s="26" t="s">
        <v>80</v>
      </c>
      <c r="Y971" s="60"/>
      <c r="Z971" s="26" t="s">
        <v>80</v>
      </c>
      <c r="AA971" s="25"/>
      <c r="AB971" s="26" t="s">
        <v>80</v>
      </c>
      <c r="AD971" s="23" t="s">
        <v>2411</v>
      </c>
    </row>
    <row r="972" spans="2:30" ht="84.95">
      <c r="B972" s="21" t="s">
        <v>2644</v>
      </c>
      <c r="C972" s="20"/>
      <c r="D972" s="21" t="s">
        <v>2624</v>
      </c>
      <c r="E972" s="20"/>
      <c r="F972" s="23" t="s">
        <v>394</v>
      </c>
      <c r="H972" s="21" t="s">
        <v>2406</v>
      </c>
      <c r="J972" s="21" t="s">
        <v>411</v>
      </c>
      <c r="L972" s="21" t="s">
        <v>737</v>
      </c>
      <c r="N972" s="21" t="s">
        <v>236</v>
      </c>
      <c r="P972" s="21" t="s">
        <v>2405</v>
      </c>
      <c r="R972" s="21" t="s">
        <v>77</v>
      </c>
      <c r="S972" s="20"/>
      <c r="T972" s="76" t="s">
        <v>2416</v>
      </c>
      <c r="V972" s="26" t="s">
        <v>79</v>
      </c>
      <c r="W972" s="25"/>
      <c r="X972" s="26" t="s">
        <v>80</v>
      </c>
      <c r="Y972" s="60"/>
      <c r="Z972" s="26" t="s">
        <v>80</v>
      </c>
      <c r="AA972" s="25"/>
      <c r="AB972" s="26" t="s">
        <v>80</v>
      </c>
      <c r="AD972" s="23" t="s">
        <v>2411</v>
      </c>
    </row>
    <row r="973" spans="2:30" ht="84.95">
      <c r="B973" s="21" t="s">
        <v>2645</v>
      </c>
      <c r="C973" s="20"/>
      <c r="D973" s="21" t="s">
        <v>2624</v>
      </c>
      <c r="E973" s="20"/>
      <c r="F973" s="23" t="s">
        <v>394</v>
      </c>
      <c r="H973" s="21" t="s">
        <v>2406</v>
      </c>
      <c r="J973" s="21" t="s">
        <v>411</v>
      </c>
      <c r="L973" s="21" t="s">
        <v>737</v>
      </c>
      <c r="N973" s="21" t="s">
        <v>236</v>
      </c>
      <c r="P973" s="21" t="s">
        <v>2405</v>
      </c>
      <c r="R973" s="21" t="s">
        <v>77</v>
      </c>
      <c r="S973" s="20"/>
      <c r="T973" s="76" t="s">
        <v>2416</v>
      </c>
      <c r="V973" s="26" t="s">
        <v>79</v>
      </c>
      <c r="W973" s="25"/>
      <c r="X973" s="26" t="s">
        <v>80</v>
      </c>
      <c r="Y973" s="60"/>
      <c r="Z973" s="26" t="s">
        <v>80</v>
      </c>
      <c r="AA973" s="25"/>
      <c r="AB973" s="26" t="s">
        <v>80</v>
      </c>
      <c r="AD973" s="23" t="s">
        <v>2411</v>
      </c>
    </row>
    <row r="974" spans="2:30" ht="84.95">
      <c r="B974" s="21" t="s">
        <v>2646</v>
      </c>
      <c r="C974" s="20"/>
      <c r="D974" s="21" t="s">
        <v>2624</v>
      </c>
      <c r="E974" s="20"/>
      <c r="F974" s="23" t="s">
        <v>394</v>
      </c>
      <c r="H974" s="21" t="s">
        <v>2406</v>
      </c>
      <c r="J974" s="21" t="s">
        <v>411</v>
      </c>
      <c r="L974" s="21" t="s">
        <v>737</v>
      </c>
      <c r="N974" s="21" t="s">
        <v>236</v>
      </c>
      <c r="P974" s="21" t="s">
        <v>2405</v>
      </c>
      <c r="R974" s="21" t="s">
        <v>77</v>
      </c>
      <c r="S974" s="20"/>
      <c r="T974" s="76" t="s">
        <v>2416</v>
      </c>
      <c r="U974" s="77"/>
      <c r="V974" s="26" t="s">
        <v>79</v>
      </c>
      <c r="W974" s="25"/>
      <c r="X974" s="26" t="s">
        <v>80</v>
      </c>
      <c r="Y974" s="60"/>
      <c r="Z974" s="26" t="s">
        <v>80</v>
      </c>
      <c r="AA974" s="25"/>
      <c r="AB974" s="26" t="s">
        <v>80</v>
      </c>
      <c r="AD974" s="23" t="s">
        <v>2411</v>
      </c>
    </row>
    <row r="975" spans="2:30" ht="84.95">
      <c r="B975" s="21" t="s">
        <v>2647</v>
      </c>
      <c r="C975" s="20"/>
      <c r="D975" s="21" t="s">
        <v>2624</v>
      </c>
      <c r="E975" s="20"/>
      <c r="F975" s="23" t="s">
        <v>394</v>
      </c>
      <c r="H975" s="21" t="s">
        <v>2406</v>
      </c>
      <c r="J975" s="21" t="s">
        <v>411</v>
      </c>
      <c r="L975" s="21" t="s">
        <v>737</v>
      </c>
      <c r="N975" s="21" t="s">
        <v>236</v>
      </c>
      <c r="P975" s="21" t="s">
        <v>2405</v>
      </c>
      <c r="R975" s="21" t="s">
        <v>77</v>
      </c>
      <c r="S975" s="20"/>
      <c r="T975" s="76" t="s">
        <v>2416</v>
      </c>
      <c r="U975" s="77"/>
      <c r="V975" s="26" t="s">
        <v>79</v>
      </c>
      <c r="W975" s="25"/>
      <c r="X975" s="26" t="s">
        <v>80</v>
      </c>
      <c r="Y975" s="60"/>
      <c r="Z975" s="26" t="s">
        <v>80</v>
      </c>
      <c r="AA975" s="25"/>
      <c r="AB975" s="26" t="s">
        <v>80</v>
      </c>
      <c r="AD975" s="23" t="s">
        <v>2411</v>
      </c>
    </row>
    <row r="976" spans="2:30" ht="84.95">
      <c r="B976" s="21" t="s">
        <v>2648</v>
      </c>
      <c r="C976" s="20"/>
      <c r="D976" s="21" t="s">
        <v>2624</v>
      </c>
      <c r="E976" s="20"/>
      <c r="F976" s="23" t="s">
        <v>394</v>
      </c>
      <c r="H976" s="21" t="s">
        <v>2406</v>
      </c>
      <c r="J976" s="21" t="s">
        <v>411</v>
      </c>
      <c r="L976" s="21" t="s">
        <v>737</v>
      </c>
      <c r="N976" s="21" t="s">
        <v>236</v>
      </c>
      <c r="P976" s="21" t="s">
        <v>2405</v>
      </c>
      <c r="R976" s="21" t="s">
        <v>77</v>
      </c>
      <c r="S976" s="20"/>
      <c r="T976" s="76" t="s">
        <v>2416</v>
      </c>
      <c r="V976" s="26" t="s">
        <v>79</v>
      </c>
      <c r="W976" s="25"/>
      <c r="X976" s="26" t="s">
        <v>80</v>
      </c>
      <c r="Y976" s="60"/>
      <c r="Z976" s="26" t="s">
        <v>80</v>
      </c>
      <c r="AA976" s="25"/>
      <c r="AB976" s="26" t="s">
        <v>80</v>
      </c>
      <c r="AD976" s="23" t="s">
        <v>2411</v>
      </c>
    </row>
    <row r="977" spans="2:30" ht="84.95">
      <c r="B977" s="21" t="s">
        <v>2649</v>
      </c>
      <c r="C977" s="20"/>
      <c r="D977" s="21" t="s">
        <v>2624</v>
      </c>
      <c r="E977" s="20"/>
      <c r="F977" s="23" t="s">
        <v>394</v>
      </c>
      <c r="H977" s="21" t="s">
        <v>2406</v>
      </c>
      <c r="J977" s="21" t="s">
        <v>411</v>
      </c>
      <c r="L977" s="21" t="s">
        <v>737</v>
      </c>
      <c r="N977" s="21" t="s">
        <v>236</v>
      </c>
      <c r="P977" s="21" t="s">
        <v>2405</v>
      </c>
      <c r="R977" s="21" t="s">
        <v>77</v>
      </c>
      <c r="S977" s="20"/>
      <c r="T977" s="76" t="s">
        <v>2416</v>
      </c>
      <c r="U977" s="77"/>
      <c r="V977" s="26" t="s">
        <v>79</v>
      </c>
      <c r="W977" s="25"/>
      <c r="X977" s="26" t="s">
        <v>80</v>
      </c>
      <c r="Y977" s="60"/>
      <c r="Z977" s="26" t="s">
        <v>80</v>
      </c>
      <c r="AA977" s="25"/>
      <c r="AB977" s="26" t="s">
        <v>80</v>
      </c>
      <c r="AD977" s="23" t="s">
        <v>2411</v>
      </c>
    </row>
    <row r="978" spans="2:30" ht="84.95">
      <c r="B978" s="21" t="s">
        <v>2650</v>
      </c>
      <c r="C978" s="20"/>
      <c r="D978" s="21" t="s">
        <v>2651</v>
      </c>
      <c r="E978" s="20"/>
      <c r="F978" s="23" t="s">
        <v>394</v>
      </c>
      <c r="H978" s="21" t="s">
        <v>2406</v>
      </c>
      <c r="J978" s="21" t="s">
        <v>411</v>
      </c>
      <c r="L978" s="21" t="s">
        <v>737</v>
      </c>
      <c r="N978" s="21" t="s">
        <v>236</v>
      </c>
      <c r="P978" s="21" t="s">
        <v>2405</v>
      </c>
      <c r="R978" s="21" t="s">
        <v>77</v>
      </c>
      <c r="S978" s="20"/>
      <c r="T978" s="76" t="s">
        <v>2416</v>
      </c>
      <c r="U978" s="77"/>
      <c r="V978" s="26" t="s">
        <v>79</v>
      </c>
      <c r="W978" s="25"/>
      <c r="X978" s="26" t="s">
        <v>80</v>
      </c>
      <c r="Y978" s="60"/>
      <c r="Z978" s="26" t="s">
        <v>80</v>
      </c>
      <c r="AA978" s="25"/>
      <c r="AB978" s="26" t="s">
        <v>80</v>
      </c>
      <c r="AD978" s="23" t="s">
        <v>2411</v>
      </c>
    </row>
    <row r="979" spans="2:30" ht="84.95">
      <c r="B979" s="21" t="s">
        <v>2652</v>
      </c>
      <c r="C979" s="20"/>
      <c r="D979" s="21" t="s">
        <v>2651</v>
      </c>
      <c r="E979" s="20"/>
      <c r="F979" s="23" t="s">
        <v>394</v>
      </c>
      <c r="H979" s="21" t="s">
        <v>2406</v>
      </c>
      <c r="J979" s="21" t="s">
        <v>411</v>
      </c>
      <c r="L979" s="21" t="s">
        <v>737</v>
      </c>
      <c r="N979" s="21" t="s">
        <v>236</v>
      </c>
      <c r="P979" s="21" t="s">
        <v>2405</v>
      </c>
      <c r="R979" s="21" t="s">
        <v>77</v>
      </c>
      <c r="S979" s="20"/>
      <c r="T979" s="76" t="s">
        <v>2416</v>
      </c>
      <c r="U979" s="77"/>
      <c r="V979" s="26" t="s">
        <v>79</v>
      </c>
      <c r="W979" s="25"/>
      <c r="X979" s="26" t="s">
        <v>80</v>
      </c>
      <c r="Y979" s="60"/>
      <c r="Z979" s="26" t="s">
        <v>80</v>
      </c>
      <c r="AA979" s="25"/>
      <c r="AB979" s="26" t="s">
        <v>80</v>
      </c>
      <c r="AD979" s="23" t="s">
        <v>2411</v>
      </c>
    </row>
    <row r="980" spans="2:30" ht="84.95">
      <c r="B980" s="21" t="s">
        <v>2653</v>
      </c>
      <c r="C980" s="20"/>
      <c r="D980" s="21" t="s">
        <v>2651</v>
      </c>
      <c r="E980" s="20"/>
      <c r="F980" s="23" t="s">
        <v>394</v>
      </c>
      <c r="H980" s="21" t="s">
        <v>2406</v>
      </c>
      <c r="J980" s="21" t="s">
        <v>411</v>
      </c>
      <c r="L980" s="21" t="s">
        <v>737</v>
      </c>
      <c r="N980" s="21" t="s">
        <v>236</v>
      </c>
      <c r="P980" s="21" t="s">
        <v>2405</v>
      </c>
      <c r="R980" s="21" t="s">
        <v>77</v>
      </c>
      <c r="S980" s="20"/>
      <c r="T980" s="76" t="s">
        <v>2416</v>
      </c>
      <c r="V980" s="26" t="s">
        <v>79</v>
      </c>
      <c r="W980" s="25"/>
      <c r="X980" s="26" t="s">
        <v>80</v>
      </c>
      <c r="Y980" s="60"/>
      <c r="Z980" s="26" t="s">
        <v>80</v>
      </c>
      <c r="AA980" s="25"/>
      <c r="AB980" s="26" t="s">
        <v>80</v>
      </c>
      <c r="AD980" s="23" t="s">
        <v>2411</v>
      </c>
    </row>
    <row r="981" spans="2:30" ht="84.95">
      <c r="B981" s="21" t="s">
        <v>2654</v>
      </c>
      <c r="C981" s="20"/>
      <c r="D981" s="21" t="s">
        <v>2651</v>
      </c>
      <c r="E981" s="20"/>
      <c r="F981" s="23" t="s">
        <v>394</v>
      </c>
      <c r="H981" s="21" t="s">
        <v>2406</v>
      </c>
      <c r="J981" s="21" t="s">
        <v>411</v>
      </c>
      <c r="L981" s="21" t="s">
        <v>737</v>
      </c>
      <c r="N981" s="21" t="s">
        <v>236</v>
      </c>
      <c r="P981" s="21" t="s">
        <v>2405</v>
      </c>
      <c r="R981" s="21" t="s">
        <v>77</v>
      </c>
      <c r="S981" s="20"/>
      <c r="T981" s="76" t="s">
        <v>2416</v>
      </c>
      <c r="U981" s="77"/>
      <c r="V981" s="26" t="s">
        <v>79</v>
      </c>
      <c r="W981" s="25"/>
      <c r="X981" s="26" t="s">
        <v>80</v>
      </c>
      <c r="Y981" s="60"/>
      <c r="Z981" s="26" t="s">
        <v>80</v>
      </c>
      <c r="AA981" s="25"/>
      <c r="AB981" s="26" t="s">
        <v>80</v>
      </c>
      <c r="AD981" s="23" t="s">
        <v>2411</v>
      </c>
    </row>
    <row r="982" spans="2:30" ht="84.95">
      <c r="B982" s="21" t="s">
        <v>2655</v>
      </c>
      <c r="C982" s="20"/>
      <c r="D982" s="21" t="s">
        <v>2590</v>
      </c>
      <c r="E982" s="20"/>
      <c r="F982" s="23" t="s">
        <v>394</v>
      </c>
      <c r="H982" s="21" t="s">
        <v>2406</v>
      </c>
      <c r="J982" s="21" t="s">
        <v>411</v>
      </c>
      <c r="L982" s="21" t="s">
        <v>737</v>
      </c>
      <c r="N982" s="21" t="s">
        <v>236</v>
      </c>
      <c r="P982" s="21" t="s">
        <v>2405</v>
      </c>
      <c r="R982" s="21" t="s">
        <v>77</v>
      </c>
      <c r="S982" s="20"/>
      <c r="T982" s="76" t="s">
        <v>2416</v>
      </c>
      <c r="U982" s="77"/>
      <c r="V982" s="26" t="s">
        <v>79</v>
      </c>
      <c r="W982" s="25"/>
      <c r="X982" s="26" t="s">
        <v>80</v>
      </c>
      <c r="Y982" s="60"/>
      <c r="Z982" s="26" t="s">
        <v>80</v>
      </c>
      <c r="AA982" s="25"/>
      <c r="AB982" s="26" t="s">
        <v>80</v>
      </c>
      <c r="AD982" s="23" t="s">
        <v>2411</v>
      </c>
    </row>
    <row r="983" spans="2:30" ht="84.95">
      <c r="B983" s="21" t="s">
        <v>2656</v>
      </c>
      <c r="C983" s="20"/>
      <c r="D983" s="21" t="s">
        <v>2590</v>
      </c>
      <c r="E983" s="20"/>
      <c r="F983" s="23" t="s">
        <v>394</v>
      </c>
      <c r="H983" s="21" t="s">
        <v>2406</v>
      </c>
      <c r="J983" s="21" t="s">
        <v>411</v>
      </c>
      <c r="L983" s="21" t="s">
        <v>737</v>
      </c>
      <c r="N983" s="21" t="s">
        <v>236</v>
      </c>
      <c r="P983" s="21" t="s">
        <v>2405</v>
      </c>
      <c r="R983" s="21" t="s">
        <v>77</v>
      </c>
      <c r="S983" s="20"/>
      <c r="T983" s="76" t="s">
        <v>2416</v>
      </c>
      <c r="U983" s="77"/>
      <c r="V983" s="26" t="s">
        <v>79</v>
      </c>
      <c r="W983" s="25"/>
      <c r="X983" s="26" t="s">
        <v>80</v>
      </c>
      <c r="Y983" s="60"/>
      <c r="Z983" s="26" t="s">
        <v>80</v>
      </c>
      <c r="AA983" s="25"/>
      <c r="AB983" s="26" t="s">
        <v>80</v>
      </c>
      <c r="AD983" s="23" t="s">
        <v>2411</v>
      </c>
    </row>
    <row r="984" spans="2:30" ht="84.95">
      <c r="B984" s="21" t="s">
        <v>2657</v>
      </c>
      <c r="C984" s="20"/>
      <c r="D984" s="21" t="s">
        <v>2590</v>
      </c>
      <c r="E984" s="20"/>
      <c r="F984" s="23" t="s">
        <v>394</v>
      </c>
      <c r="H984" s="21" t="s">
        <v>2406</v>
      </c>
      <c r="J984" s="21" t="s">
        <v>411</v>
      </c>
      <c r="L984" s="21" t="s">
        <v>737</v>
      </c>
      <c r="N984" s="21" t="s">
        <v>236</v>
      </c>
      <c r="P984" s="21" t="s">
        <v>2405</v>
      </c>
      <c r="R984" s="21" t="s">
        <v>77</v>
      </c>
      <c r="S984" s="20"/>
      <c r="T984" s="76" t="s">
        <v>2416</v>
      </c>
      <c r="U984" s="77"/>
      <c r="V984" s="26" t="s">
        <v>79</v>
      </c>
      <c r="W984" s="25"/>
      <c r="X984" s="26" t="s">
        <v>80</v>
      </c>
      <c r="Y984" s="60"/>
      <c r="Z984" s="26" t="s">
        <v>80</v>
      </c>
      <c r="AA984" s="25"/>
      <c r="AB984" s="26" t="s">
        <v>80</v>
      </c>
      <c r="AD984" s="23" t="s">
        <v>2411</v>
      </c>
    </row>
    <row r="985" spans="2:30" ht="84.95">
      <c r="B985" s="21" t="s">
        <v>2658</v>
      </c>
      <c r="C985" s="20"/>
      <c r="D985" s="21" t="s">
        <v>2590</v>
      </c>
      <c r="E985" s="20"/>
      <c r="F985" s="23" t="s">
        <v>394</v>
      </c>
      <c r="H985" s="21" t="s">
        <v>2406</v>
      </c>
      <c r="J985" s="21" t="s">
        <v>411</v>
      </c>
      <c r="L985" s="21" t="s">
        <v>737</v>
      </c>
      <c r="N985" s="21" t="s">
        <v>236</v>
      </c>
      <c r="P985" s="21" t="s">
        <v>2405</v>
      </c>
      <c r="R985" s="21" t="s">
        <v>77</v>
      </c>
      <c r="S985" s="20"/>
      <c r="T985" s="76" t="s">
        <v>2416</v>
      </c>
      <c r="V985" s="26" t="s">
        <v>79</v>
      </c>
      <c r="W985" s="25"/>
      <c r="X985" s="26" t="s">
        <v>80</v>
      </c>
      <c r="Y985" s="60"/>
      <c r="Z985" s="26" t="s">
        <v>80</v>
      </c>
      <c r="AA985" s="25"/>
      <c r="AB985" s="26" t="s">
        <v>80</v>
      </c>
      <c r="AD985" s="23" t="s">
        <v>2411</v>
      </c>
    </row>
    <row r="986" spans="2:30" ht="84.95">
      <c r="B986" s="21" t="s">
        <v>2659</v>
      </c>
      <c r="C986" s="20"/>
      <c r="D986" s="21" t="s">
        <v>2590</v>
      </c>
      <c r="E986" s="20"/>
      <c r="F986" s="23" t="s">
        <v>394</v>
      </c>
      <c r="H986" s="21" t="s">
        <v>2406</v>
      </c>
      <c r="J986" s="21" t="s">
        <v>411</v>
      </c>
      <c r="L986" s="21" t="s">
        <v>737</v>
      </c>
      <c r="N986" s="21" t="s">
        <v>236</v>
      </c>
      <c r="P986" s="21" t="s">
        <v>2405</v>
      </c>
      <c r="R986" s="21" t="s">
        <v>77</v>
      </c>
      <c r="S986" s="20"/>
      <c r="T986" s="76" t="s">
        <v>2416</v>
      </c>
      <c r="V986" s="26" t="s">
        <v>79</v>
      </c>
      <c r="W986" s="25"/>
      <c r="X986" s="26" t="s">
        <v>80</v>
      </c>
      <c r="Y986" s="60"/>
      <c r="Z986" s="26" t="s">
        <v>80</v>
      </c>
      <c r="AA986" s="25"/>
      <c r="AB986" s="26" t="s">
        <v>80</v>
      </c>
      <c r="AD986" s="23" t="s">
        <v>2411</v>
      </c>
    </row>
    <row r="987" spans="2:30" ht="84.95">
      <c r="B987" s="21" t="s">
        <v>2660</v>
      </c>
      <c r="C987" s="20"/>
      <c r="D987" s="21" t="s">
        <v>2590</v>
      </c>
      <c r="E987" s="20"/>
      <c r="F987" s="23" t="s">
        <v>394</v>
      </c>
      <c r="H987" s="21" t="s">
        <v>2406</v>
      </c>
      <c r="J987" s="21" t="s">
        <v>411</v>
      </c>
      <c r="L987" s="21" t="s">
        <v>737</v>
      </c>
      <c r="N987" s="21" t="s">
        <v>236</v>
      </c>
      <c r="P987" s="21" t="s">
        <v>2405</v>
      </c>
      <c r="R987" s="21" t="s">
        <v>77</v>
      </c>
      <c r="S987" s="20"/>
      <c r="T987" s="76" t="s">
        <v>2416</v>
      </c>
      <c r="U987" s="77"/>
      <c r="V987" s="26" t="s">
        <v>79</v>
      </c>
      <c r="W987" s="25"/>
      <c r="X987" s="26" t="s">
        <v>80</v>
      </c>
      <c r="Y987" s="60"/>
      <c r="Z987" s="26" t="s">
        <v>80</v>
      </c>
      <c r="AA987" s="25"/>
      <c r="AB987" s="26" t="s">
        <v>80</v>
      </c>
      <c r="AD987" s="23" t="s">
        <v>2411</v>
      </c>
    </row>
    <row r="988" spans="2:30" ht="84.95">
      <c r="B988" s="21" t="s">
        <v>2661</v>
      </c>
      <c r="C988" s="20"/>
      <c r="D988" s="21" t="s">
        <v>2590</v>
      </c>
      <c r="E988" s="20"/>
      <c r="F988" s="23" t="s">
        <v>394</v>
      </c>
      <c r="H988" s="21" t="s">
        <v>2406</v>
      </c>
      <c r="J988" s="21" t="s">
        <v>411</v>
      </c>
      <c r="L988" s="21" t="s">
        <v>737</v>
      </c>
      <c r="N988" s="21" t="s">
        <v>236</v>
      </c>
      <c r="P988" s="21" t="s">
        <v>2405</v>
      </c>
      <c r="R988" s="21" t="s">
        <v>77</v>
      </c>
      <c r="S988" s="20"/>
      <c r="T988" s="76" t="s">
        <v>2416</v>
      </c>
      <c r="V988" s="26" t="s">
        <v>79</v>
      </c>
      <c r="W988" s="25"/>
      <c r="X988" s="26" t="s">
        <v>80</v>
      </c>
      <c r="Y988" s="60"/>
      <c r="Z988" s="26" t="s">
        <v>80</v>
      </c>
      <c r="AA988" s="25"/>
      <c r="AB988" s="26" t="s">
        <v>80</v>
      </c>
      <c r="AD988" s="23" t="s">
        <v>2411</v>
      </c>
    </row>
    <row r="989" spans="2:30" ht="84.95">
      <c r="B989" s="21" t="s">
        <v>2662</v>
      </c>
      <c r="C989" s="20"/>
      <c r="D989" s="21" t="s">
        <v>2590</v>
      </c>
      <c r="E989" s="20"/>
      <c r="F989" s="23" t="s">
        <v>394</v>
      </c>
      <c r="H989" s="21" t="s">
        <v>2406</v>
      </c>
      <c r="J989" s="21" t="s">
        <v>411</v>
      </c>
      <c r="L989" s="21" t="s">
        <v>737</v>
      </c>
      <c r="N989" s="21" t="s">
        <v>236</v>
      </c>
      <c r="P989" s="21" t="s">
        <v>2405</v>
      </c>
      <c r="R989" s="21" t="s">
        <v>77</v>
      </c>
      <c r="S989" s="20"/>
      <c r="T989" s="76" t="s">
        <v>2416</v>
      </c>
      <c r="U989" s="77"/>
      <c r="V989" s="26" t="s">
        <v>79</v>
      </c>
      <c r="W989" s="25"/>
      <c r="X989" s="26" t="s">
        <v>80</v>
      </c>
      <c r="Y989" s="60"/>
      <c r="Z989" s="26" t="s">
        <v>80</v>
      </c>
      <c r="AA989" s="25"/>
      <c r="AB989" s="26" t="s">
        <v>80</v>
      </c>
      <c r="AD989" s="23" t="s">
        <v>2411</v>
      </c>
    </row>
    <row r="990" spans="2:30" ht="84.95">
      <c r="B990" s="21" t="s">
        <v>2663</v>
      </c>
      <c r="C990" s="20"/>
      <c r="D990" s="21" t="s">
        <v>2590</v>
      </c>
      <c r="E990" s="20"/>
      <c r="F990" s="23" t="s">
        <v>394</v>
      </c>
      <c r="H990" s="21" t="s">
        <v>2406</v>
      </c>
      <c r="J990" s="21" t="s">
        <v>411</v>
      </c>
      <c r="L990" s="21" t="s">
        <v>737</v>
      </c>
      <c r="N990" s="21" t="s">
        <v>236</v>
      </c>
      <c r="P990" s="21" t="s">
        <v>2405</v>
      </c>
      <c r="R990" s="21" t="s">
        <v>77</v>
      </c>
      <c r="S990" s="20"/>
      <c r="T990" s="76" t="s">
        <v>2416</v>
      </c>
      <c r="U990" s="77"/>
      <c r="V990" s="26" t="s">
        <v>79</v>
      </c>
      <c r="W990" s="25"/>
      <c r="X990" s="26" t="s">
        <v>80</v>
      </c>
      <c r="Y990" s="60"/>
      <c r="Z990" s="26" t="s">
        <v>80</v>
      </c>
      <c r="AA990" s="25"/>
      <c r="AB990" s="26" t="s">
        <v>80</v>
      </c>
      <c r="AD990" s="23" t="s">
        <v>2411</v>
      </c>
    </row>
    <row r="991" spans="2:30" ht="84.95">
      <c r="B991" s="21" t="s">
        <v>2664</v>
      </c>
      <c r="C991" s="20"/>
      <c r="D991" s="21" t="s">
        <v>2590</v>
      </c>
      <c r="E991" s="20"/>
      <c r="F991" s="23" t="s">
        <v>394</v>
      </c>
      <c r="H991" s="21" t="s">
        <v>2406</v>
      </c>
      <c r="J991" s="21" t="s">
        <v>411</v>
      </c>
      <c r="L991" s="21" t="s">
        <v>737</v>
      </c>
      <c r="N991" s="21" t="s">
        <v>236</v>
      </c>
      <c r="P991" s="21" t="s">
        <v>2405</v>
      </c>
      <c r="R991" s="21" t="s">
        <v>77</v>
      </c>
      <c r="S991" s="20"/>
      <c r="T991" s="76" t="s">
        <v>2416</v>
      </c>
      <c r="V991" s="26" t="s">
        <v>79</v>
      </c>
      <c r="W991" s="25"/>
      <c r="X991" s="26" t="s">
        <v>80</v>
      </c>
      <c r="Y991" s="60"/>
      <c r="Z991" s="26" t="s">
        <v>80</v>
      </c>
      <c r="AA991" s="25"/>
      <c r="AB991" s="26" t="s">
        <v>80</v>
      </c>
      <c r="AD991" s="23" t="s">
        <v>2411</v>
      </c>
    </row>
    <row r="992" spans="2:30" ht="84.95">
      <c r="B992" s="21" t="s">
        <v>2665</v>
      </c>
      <c r="C992" s="20"/>
      <c r="D992" s="21" t="s">
        <v>2590</v>
      </c>
      <c r="E992" s="20"/>
      <c r="F992" s="23" t="s">
        <v>394</v>
      </c>
      <c r="H992" s="21" t="s">
        <v>2406</v>
      </c>
      <c r="J992" s="21" t="s">
        <v>411</v>
      </c>
      <c r="L992" s="21" t="s">
        <v>737</v>
      </c>
      <c r="N992" s="21" t="s">
        <v>236</v>
      </c>
      <c r="P992" s="21" t="s">
        <v>2405</v>
      </c>
      <c r="R992" s="21" t="s">
        <v>77</v>
      </c>
      <c r="S992" s="20"/>
      <c r="T992" s="76" t="s">
        <v>2416</v>
      </c>
      <c r="V992" s="26" t="s">
        <v>79</v>
      </c>
      <c r="W992" s="25"/>
      <c r="X992" s="26" t="s">
        <v>80</v>
      </c>
      <c r="Y992" s="60"/>
      <c r="Z992" s="26" t="s">
        <v>80</v>
      </c>
      <c r="AA992" s="25"/>
      <c r="AB992" s="26" t="s">
        <v>80</v>
      </c>
      <c r="AD992" s="23" t="s">
        <v>2411</v>
      </c>
    </row>
    <row r="993" spans="2:30" ht="84.95">
      <c r="B993" s="21" t="s">
        <v>2666</v>
      </c>
      <c r="C993" s="20"/>
      <c r="D993" s="21" t="s">
        <v>2590</v>
      </c>
      <c r="E993" s="20"/>
      <c r="F993" s="23" t="s">
        <v>394</v>
      </c>
      <c r="H993" s="21" t="s">
        <v>2406</v>
      </c>
      <c r="J993" s="21" t="s">
        <v>411</v>
      </c>
      <c r="L993" s="21" t="s">
        <v>737</v>
      </c>
      <c r="N993" s="21" t="s">
        <v>236</v>
      </c>
      <c r="P993" s="21" t="s">
        <v>2405</v>
      </c>
      <c r="R993" s="21" t="s">
        <v>77</v>
      </c>
      <c r="S993" s="20"/>
      <c r="T993" s="76" t="s">
        <v>2416</v>
      </c>
      <c r="V993" s="26" t="s">
        <v>79</v>
      </c>
      <c r="W993" s="25"/>
      <c r="X993" s="26" t="s">
        <v>80</v>
      </c>
      <c r="Y993" s="60"/>
      <c r="Z993" s="26" t="s">
        <v>80</v>
      </c>
      <c r="AA993" s="25"/>
      <c r="AB993" s="26" t="s">
        <v>80</v>
      </c>
      <c r="AD993" s="23" t="s">
        <v>2411</v>
      </c>
    </row>
    <row r="994" spans="2:30" ht="84.95">
      <c r="B994" s="21" t="s">
        <v>2667</v>
      </c>
      <c r="C994" s="20"/>
      <c r="D994" s="21" t="s">
        <v>2590</v>
      </c>
      <c r="E994" s="20"/>
      <c r="F994" s="23" t="s">
        <v>394</v>
      </c>
      <c r="H994" s="21" t="s">
        <v>2406</v>
      </c>
      <c r="J994" s="21" t="s">
        <v>411</v>
      </c>
      <c r="L994" s="21" t="s">
        <v>737</v>
      </c>
      <c r="N994" s="21" t="s">
        <v>236</v>
      </c>
      <c r="P994" s="21" t="s">
        <v>2405</v>
      </c>
      <c r="R994" s="21" t="s">
        <v>77</v>
      </c>
      <c r="S994" s="20"/>
      <c r="T994" s="76" t="s">
        <v>2416</v>
      </c>
      <c r="V994" s="26" t="s">
        <v>79</v>
      </c>
      <c r="W994" s="25"/>
      <c r="X994" s="26" t="s">
        <v>80</v>
      </c>
      <c r="Y994" s="60"/>
      <c r="Z994" s="26" t="s">
        <v>80</v>
      </c>
      <c r="AA994" s="25"/>
      <c r="AB994" s="26" t="s">
        <v>80</v>
      </c>
      <c r="AD994" s="23" t="s">
        <v>2411</v>
      </c>
    </row>
    <row r="995" spans="2:30" ht="84.95">
      <c r="B995" s="21" t="s">
        <v>2668</v>
      </c>
      <c r="C995" s="20"/>
      <c r="D995" s="21" t="s">
        <v>2590</v>
      </c>
      <c r="E995" s="20"/>
      <c r="F995" s="23" t="s">
        <v>394</v>
      </c>
      <c r="H995" s="21" t="s">
        <v>2406</v>
      </c>
      <c r="J995" s="21" t="s">
        <v>411</v>
      </c>
      <c r="L995" s="21" t="s">
        <v>737</v>
      </c>
      <c r="N995" s="21" t="s">
        <v>236</v>
      </c>
      <c r="P995" s="21" t="s">
        <v>2405</v>
      </c>
      <c r="R995" s="21" t="s">
        <v>77</v>
      </c>
      <c r="S995" s="20"/>
      <c r="T995" s="76" t="s">
        <v>2416</v>
      </c>
      <c r="U995" s="77"/>
      <c r="V995" s="26" t="s">
        <v>79</v>
      </c>
      <c r="W995" s="25"/>
      <c r="X995" s="26" t="s">
        <v>80</v>
      </c>
      <c r="Y995" s="60"/>
      <c r="Z995" s="26" t="s">
        <v>80</v>
      </c>
      <c r="AA995" s="25"/>
      <c r="AB995" s="26" t="s">
        <v>80</v>
      </c>
      <c r="AD995" s="23" t="s">
        <v>2411</v>
      </c>
    </row>
    <row r="996" spans="2:30" ht="84.95">
      <c r="B996" s="21" t="s">
        <v>2669</v>
      </c>
      <c r="C996" s="20"/>
      <c r="D996" s="21" t="s">
        <v>2590</v>
      </c>
      <c r="E996" s="20"/>
      <c r="F996" s="23" t="s">
        <v>394</v>
      </c>
      <c r="H996" s="21" t="s">
        <v>2406</v>
      </c>
      <c r="J996" s="21" t="s">
        <v>411</v>
      </c>
      <c r="L996" s="21" t="s">
        <v>737</v>
      </c>
      <c r="N996" s="21" t="s">
        <v>236</v>
      </c>
      <c r="P996" s="21" t="s">
        <v>2405</v>
      </c>
      <c r="R996" s="21" t="s">
        <v>77</v>
      </c>
      <c r="S996" s="20"/>
      <c r="T996" s="76" t="s">
        <v>2416</v>
      </c>
      <c r="U996" s="77"/>
      <c r="V996" s="26" t="s">
        <v>79</v>
      </c>
      <c r="W996" s="25"/>
      <c r="X996" s="26" t="s">
        <v>80</v>
      </c>
      <c r="Y996" s="60"/>
      <c r="Z996" s="26" t="s">
        <v>80</v>
      </c>
      <c r="AA996" s="25"/>
      <c r="AB996" s="26" t="s">
        <v>80</v>
      </c>
      <c r="AD996" s="23" t="s">
        <v>2411</v>
      </c>
    </row>
    <row r="997" spans="2:30" ht="84.95">
      <c r="B997" s="21" t="s">
        <v>2670</v>
      </c>
      <c r="C997" s="20"/>
      <c r="D997" s="21" t="s">
        <v>2590</v>
      </c>
      <c r="E997" s="20"/>
      <c r="F997" s="23" t="s">
        <v>394</v>
      </c>
      <c r="H997" s="21" t="s">
        <v>2406</v>
      </c>
      <c r="J997" s="21" t="s">
        <v>411</v>
      </c>
      <c r="L997" s="21" t="s">
        <v>737</v>
      </c>
      <c r="N997" s="21" t="s">
        <v>236</v>
      </c>
      <c r="P997" s="21" t="s">
        <v>2405</v>
      </c>
      <c r="R997" s="21" t="s">
        <v>77</v>
      </c>
      <c r="S997" s="20"/>
      <c r="T997" s="76" t="s">
        <v>2416</v>
      </c>
      <c r="U997" s="77"/>
      <c r="V997" s="26" t="s">
        <v>79</v>
      </c>
      <c r="W997" s="25"/>
      <c r="X997" s="26" t="s">
        <v>80</v>
      </c>
      <c r="Y997" s="60"/>
      <c r="Z997" s="26" t="s">
        <v>80</v>
      </c>
      <c r="AA997" s="25"/>
      <c r="AB997" s="26" t="s">
        <v>80</v>
      </c>
      <c r="AD997" s="23" t="s">
        <v>2411</v>
      </c>
    </row>
    <row r="998" spans="2:30" ht="84.95">
      <c r="B998" s="21" t="s">
        <v>2671</v>
      </c>
      <c r="C998" s="20"/>
      <c r="D998" s="21" t="s">
        <v>2590</v>
      </c>
      <c r="E998" s="20"/>
      <c r="F998" s="23" t="s">
        <v>394</v>
      </c>
      <c r="H998" s="21" t="s">
        <v>2406</v>
      </c>
      <c r="J998" s="21" t="s">
        <v>411</v>
      </c>
      <c r="L998" s="21" t="s">
        <v>737</v>
      </c>
      <c r="N998" s="21" t="s">
        <v>236</v>
      </c>
      <c r="P998" s="21" t="s">
        <v>2405</v>
      </c>
      <c r="R998" s="21" t="s">
        <v>77</v>
      </c>
      <c r="S998" s="20"/>
      <c r="T998" s="76" t="s">
        <v>2416</v>
      </c>
      <c r="U998" s="77"/>
      <c r="V998" s="26" t="s">
        <v>79</v>
      </c>
      <c r="W998" s="25"/>
      <c r="X998" s="26" t="s">
        <v>80</v>
      </c>
      <c r="Y998" s="60"/>
      <c r="Z998" s="26" t="s">
        <v>80</v>
      </c>
      <c r="AA998" s="25"/>
      <c r="AB998" s="26" t="s">
        <v>80</v>
      </c>
      <c r="AD998" s="23" t="s">
        <v>2411</v>
      </c>
    </row>
    <row r="999" spans="2:30" ht="84.95">
      <c r="B999" s="21" t="s">
        <v>2672</v>
      </c>
      <c r="C999" s="20"/>
      <c r="D999" s="21" t="s">
        <v>2624</v>
      </c>
      <c r="E999" s="20"/>
      <c r="F999" s="23" t="s">
        <v>394</v>
      </c>
      <c r="H999" s="21" t="s">
        <v>2406</v>
      </c>
      <c r="J999" s="21" t="s">
        <v>411</v>
      </c>
      <c r="L999" s="21" t="s">
        <v>737</v>
      </c>
      <c r="N999" s="21" t="s">
        <v>236</v>
      </c>
      <c r="P999" s="21" t="s">
        <v>2405</v>
      </c>
      <c r="R999" s="21" t="s">
        <v>77</v>
      </c>
      <c r="S999" s="20"/>
      <c r="T999" s="76" t="s">
        <v>2416</v>
      </c>
      <c r="V999" s="26" t="s">
        <v>79</v>
      </c>
      <c r="W999" s="25"/>
      <c r="X999" s="26" t="s">
        <v>80</v>
      </c>
      <c r="Y999" s="60"/>
      <c r="Z999" s="26" t="s">
        <v>80</v>
      </c>
      <c r="AA999" s="25"/>
      <c r="AB999" s="26" t="s">
        <v>80</v>
      </c>
      <c r="AD999" s="23" t="s">
        <v>2411</v>
      </c>
    </row>
    <row r="1000" spans="2:30" ht="84.95">
      <c r="B1000" s="21" t="s">
        <v>2673</v>
      </c>
      <c r="C1000" s="20"/>
      <c r="D1000" s="21" t="s">
        <v>2574</v>
      </c>
      <c r="E1000" s="20"/>
      <c r="F1000" s="23" t="s">
        <v>394</v>
      </c>
      <c r="H1000" s="21" t="s">
        <v>2406</v>
      </c>
      <c r="J1000" s="21" t="s">
        <v>411</v>
      </c>
      <c r="L1000" s="21" t="s">
        <v>737</v>
      </c>
      <c r="N1000" s="21" t="s">
        <v>236</v>
      </c>
      <c r="P1000" s="21" t="s">
        <v>2405</v>
      </c>
      <c r="R1000" s="21" t="s">
        <v>77</v>
      </c>
      <c r="S1000" s="20"/>
      <c r="T1000" s="76" t="s">
        <v>2416</v>
      </c>
      <c r="U1000" s="77"/>
      <c r="V1000" s="26" t="s">
        <v>79</v>
      </c>
      <c r="W1000" s="25"/>
      <c r="X1000" s="26" t="s">
        <v>80</v>
      </c>
      <c r="Y1000" s="60"/>
      <c r="Z1000" s="26" t="s">
        <v>80</v>
      </c>
      <c r="AA1000" s="25"/>
      <c r="AB1000" s="26" t="s">
        <v>80</v>
      </c>
      <c r="AD1000" s="23" t="s">
        <v>2411</v>
      </c>
    </row>
    <row r="1001" spans="2:30" ht="84.95">
      <c r="B1001" s="21" t="s">
        <v>2674</v>
      </c>
      <c r="C1001" s="20"/>
      <c r="D1001" s="21" t="s">
        <v>2574</v>
      </c>
      <c r="E1001" s="20"/>
      <c r="F1001" s="23" t="s">
        <v>394</v>
      </c>
      <c r="H1001" s="21" t="s">
        <v>2406</v>
      </c>
      <c r="J1001" s="21" t="s">
        <v>411</v>
      </c>
      <c r="L1001" s="21" t="s">
        <v>737</v>
      </c>
      <c r="N1001" s="21" t="s">
        <v>236</v>
      </c>
      <c r="P1001" s="21" t="s">
        <v>2405</v>
      </c>
      <c r="R1001" s="21" t="s">
        <v>77</v>
      </c>
      <c r="S1001" s="20"/>
      <c r="T1001" s="76" t="s">
        <v>2416</v>
      </c>
      <c r="U1001" s="77"/>
      <c r="V1001" s="26" t="s">
        <v>79</v>
      </c>
      <c r="W1001" s="25"/>
      <c r="X1001" s="26" t="s">
        <v>80</v>
      </c>
      <c r="Y1001" s="60"/>
      <c r="Z1001" s="26" t="s">
        <v>80</v>
      </c>
      <c r="AA1001" s="25"/>
      <c r="AB1001" s="26" t="s">
        <v>80</v>
      </c>
      <c r="AD1001" s="23" t="s">
        <v>2411</v>
      </c>
    </row>
    <row r="1002" spans="2:30" ht="84.95">
      <c r="B1002" s="21" t="s">
        <v>2675</v>
      </c>
      <c r="C1002" s="20"/>
      <c r="D1002" s="21" t="s">
        <v>2574</v>
      </c>
      <c r="E1002" s="20"/>
      <c r="F1002" s="23" t="s">
        <v>394</v>
      </c>
      <c r="H1002" s="21" t="s">
        <v>2406</v>
      </c>
      <c r="J1002" s="21" t="s">
        <v>411</v>
      </c>
      <c r="L1002" s="21" t="s">
        <v>737</v>
      </c>
      <c r="N1002" s="21" t="s">
        <v>236</v>
      </c>
      <c r="P1002" s="21" t="s">
        <v>2405</v>
      </c>
      <c r="R1002" s="21" t="s">
        <v>77</v>
      </c>
      <c r="S1002" s="20"/>
      <c r="T1002" s="76" t="s">
        <v>2416</v>
      </c>
      <c r="U1002" s="77"/>
      <c r="V1002" s="26" t="s">
        <v>79</v>
      </c>
      <c r="W1002" s="25"/>
      <c r="X1002" s="26" t="s">
        <v>80</v>
      </c>
      <c r="Y1002" s="60"/>
      <c r="Z1002" s="26" t="s">
        <v>80</v>
      </c>
      <c r="AA1002" s="25"/>
      <c r="AB1002" s="26" t="s">
        <v>80</v>
      </c>
      <c r="AD1002" s="23" t="s">
        <v>2411</v>
      </c>
    </row>
    <row r="1003" spans="2:30" ht="84.95">
      <c r="B1003" s="21" t="s">
        <v>2676</v>
      </c>
      <c r="C1003" s="20"/>
      <c r="D1003" s="21" t="s">
        <v>2574</v>
      </c>
      <c r="E1003" s="20"/>
      <c r="F1003" s="23" t="s">
        <v>394</v>
      </c>
      <c r="H1003" s="21" t="s">
        <v>2406</v>
      </c>
      <c r="J1003" s="21" t="s">
        <v>411</v>
      </c>
      <c r="L1003" s="21" t="s">
        <v>737</v>
      </c>
      <c r="N1003" s="21" t="s">
        <v>236</v>
      </c>
      <c r="P1003" s="21" t="s">
        <v>2405</v>
      </c>
      <c r="R1003" s="21" t="s">
        <v>77</v>
      </c>
      <c r="S1003" s="20"/>
      <c r="T1003" s="76" t="s">
        <v>2416</v>
      </c>
      <c r="V1003" s="26" t="s">
        <v>79</v>
      </c>
      <c r="W1003" s="25"/>
      <c r="X1003" s="26" t="s">
        <v>80</v>
      </c>
      <c r="Y1003" s="60"/>
      <c r="Z1003" s="26" t="s">
        <v>80</v>
      </c>
      <c r="AA1003" s="25"/>
      <c r="AB1003" s="26" t="s">
        <v>80</v>
      </c>
      <c r="AD1003" s="23" t="s">
        <v>2411</v>
      </c>
    </row>
    <row r="1004" spans="2:30" ht="84.95">
      <c r="B1004" s="21" t="s">
        <v>2677</v>
      </c>
      <c r="C1004" s="20"/>
      <c r="D1004" s="21" t="s">
        <v>2574</v>
      </c>
      <c r="E1004" s="20"/>
      <c r="F1004" s="23" t="s">
        <v>394</v>
      </c>
      <c r="H1004" s="21" t="s">
        <v>2406</v>
      </c>
      <c r="J1004" s="21" t="s">
        <v>411</v>
      </c>
      <c r="L1004" s="21" t="s">
        <v>737</v>
      </c>
      <c r="N1004" s="21" t="s">
        <v>236</v>
      </c>
      <c r="P1004" s="21" t="s">
        <v>2405</v>
      </c>
      <c r="R1004" s="21" t="s">
        <v>77</v>
      </c>
      <c r="S1004" s="20"/>
      <c r="T1004" s="76" t="s">
        <v>2416</v>
      </c>
      <c r="U1004" s="77"/>
      <c r="V1004" s="26" t="s">
        <v>79</v>
      </c>
      <c r="W1004" s="25"/>
      <c r="X1004" s="26" t="s">
        <v>80</v>
      </c>
      <c r="Y1004" s="60"/>
      <c r="Z1004" s="26" t="s">
        <v>80</v>
      </c>
      <c r="AA1004" s="25"/>
      <c r="AB1004" s="26" t="s">
        <v>80</v>
      </c>
      <c r="AD1004" s="23" t="s">
        <v>2411</v>
      </c>
    </row>
    <row r="1005" spans="2:30" ht="84.95">
      <c r="B1005" s="21" t="s">
        <v>2678</v>
      </c>
      <c r="C1005" s="20"/>
      <c r="D1005" s="21" t="s">
        <v>2574</v>
      </c>
      <c r="E1005" s="20"/>
      <c r="F1005" s="23" t="s">
        <v>394</v>
      </c>
      <c r="H1005" s="21" t="s">
        <v>2406</v>
      </c>
      <c r="J1005" s="21" t="s">
        <v>411</v>
      </c>
      <c r="L1005" s="21" t="s">
        <v>737</v>
      </c>
      <c r="N1005" s="21" t="s">
        <v>236</v>
      </c>
      <c r="P1005" s="21" t="s">
        <v>2405</v>
      </c>
      <c r="R1005" s="21" t="s">
        <v>77</v>
      </c>
      <c r="S1005" s="20"/>
      <c r="T1005" s="76" t="s">
        <v>2416</v>
      </c>
      <c r="U1005" s="77"/>
      <c r="V1005" s="26" t="s">
        <v>79</v>
      </c>
      <c r="W1005" s="25"/>
      <c r="X1005" s="26" t="s">
        <v>80</v>
      </c>
      <c r="Y1005" s="60"/>
      <c r="Z1005" s="26" t="s">
        <v>80</v>
      </c>
      <c r="AA1005" s="25"/>
      <c r="AB1005" s="26" t="s">
        <v>80</v>
      </c>
      <c r="AD1005" s="23" t="s">
        <v>2411</v>
      </c>
    </row>
    <row r="1006" spans="2:30" ht="84.95">
      <c r="B1006" s="21" t="s">
        <v>2679</v>
      </c>
      <c r="C1006" s="20"/>
      <c r="D1006" s="21" t="s">
        <v>2574</v>
      </c>
      <c r="E1006" s="20"/>
      <c r="F1006" s="23" t="s">
        <v>394</v>
      </c>
      <c r="H1006" s="21" t="s">
        <v>2406</v>
      </c>
      <c r="J1006" s="21" t="s">
        <v>411</v>
      </c>
      <c r="L1006" s="21" t="s">
        <v>737</v>
      </c>
      <c r="N1006" s="21" t="s">
        <v>236</v>
      </c>
      <c r="P1006" s="21" t="s">
        <v>2405</v>
      </c>
      <c r="R1006" s="21" t="s">
        <v>77</v>
      </c>
      <c r="S1006" s="20"/>
      <c r="T1006" s="76" t="s">
        <v>2416</v>
      </c>
      <c r="V1006" s="26" t="s">
        <v>79</v>
      </c>
      <c r="W1006" s="25"/>
      <c r="X1006" s="26" t="s">
        <v>80</v>
      </c>
      <c r="Y1006" s="60"/>
      <c r="Z1006" s="26" t="s">
        <v>80</v>
      </c>
      <c r="AA1006" s="25"/>
      <c r="AB1006" s="26" t="s">
        <v>80</v>
      </c>
      <c r="AD1006" s="23" t="s">
        <v>2411</v>
      </c>
    </row>
    <row r="1007" spans="2:30" ht="84.95">
      <c r="B1007" s="21" t="s">
        <v>2680</v>
      </c>
      <c r="C1007" s="20"/>
      <c r="D1007" s="21" t="s">
        <v>2574</v>
      </c>
      <c r="E1007" s="20"/>
      <c r="F1007" s="23" t="s">
        <v>394</v>
      </c>
      <c r="H1007" s="21" t="s">
        <v>2406</v>
      </c>
      <c r="J1007" s="21" t="s">
        <v>411</v>
      </c>
      <c r="L1007" s="21" t="s">
        <v>737</v>
      </c>
      <c r="N1007" s="21" t="s">
        <v>236</v>
      </c>
      <c r="P1007" s="21" t="s">
        <v>2405</v>
      </c>
      <c r="R1007" s="21" t="s">
        <v>77</v>
      </c>
      <c r="S1007" s="20"/>
      <c r="T1007" s="76" t="s">
        <v>2416</v>
      </c>
      <c r="U1007" s="77"/>
      <c r="V1007" s="26" t="s">
        <v>79</v>
      </c>
      <c r="W1007" s="25"/>
      <c r="X1007" s="26" t="s">
        <v>80</v>
      </c>
      <c r="Y1007" s="60"/>
      <c r="Z1007" s="26" t="s">
        <v>80</v>
      </c>
      <c r="AA1007" s="25"/>
      <c r="AB1007" s="26" t="s">
        <v>80</v>
      </c>
      <c r="AD1007" s="23" t="s">
        <v>2411</v>
      </c>
    </row>
    <row r="1008" spans="2:30" ht="84.95">
      <c r="B1008" s="21" t="s">
        <v>2681</v>
      </c>
      <c r="C1008" s="20"/>
      <c r="D1008" s="21" t="s">
        <v>2574</v>
      </c>
      <c r="E1008" s="20"/>
      <c r="F1008" s="23" t="s">
        <v>394</v>
      </c>
      <c r="H1008" s="21" t="s">
        <v>2406</v>
      </c>
      <c r="J1008" s="21" t="s">
        <v>411</v>
      </c>
      <c r="L1008" s="21" t="s">
        <v>737</v>
      </c>
      <c r="N1008" s="21" t="s">
        <v>236</v>
      </c>
      <c r="P1008" s="21" t="s">
        <v>2405</v>
      </c>
      <c r="R1008" s="21" t="s">
        <v>77</v>
      </c>
      <c r="S1008" s="20"/>
      <c r="T1008" s="76" t="s">
        <v>2416</v>
      </c>
      <c r="U1008" s="77"/>
      <c r="V1008" s="26" t="s">
        <v>79</v>
      </c>
      <c r="W1008" s="25"/>
      <c r="X1008" s="26" t="s">
        <v>80</v>
      </c>
      <c r="Y1008" s="60"/>
      <c r="Z1008" s="26" t="s">
        <v>80</v>
      </c>
      <c r="AA1008" s="25"/>
      <c r="AB1008" s="26" t="s">
        <v>80</v>
      </c>
      <c r="AD1008" s="23" t="s">
        <v>2411</v>
      </c>
    </row>
    <row r="1009" spans="2:30" ht="84.95">
      <c r="B1009" s="21" t="s">
        <v>2682</v>
      </c>
      <c r="C1009" s="20"/>
      <c r="D1009" s="21" t="s">
        <v>2574</v>
      </c>
      <c r="E1009" s="20"/>
      <c r="F1009" s="23" t="s">
        <v>394</v>
      </c>
      <c r="H1009" s="21" t="s">
        <v>2406</v>
      </c>
      <c r="J1009" s="21" t="s">
        <v>411</v>
      </c>
      <c r="L1009" s="21" t="s">
        <v>737</v>
      </c>
      <c r="N1009" s="21" t="s">
        <v>236</v>
      </c>
      <c r="P1009" s="21" t="s">
        <v>2405</v>
      </c>
      <c r="R1009" s="21" t="s">
        <v>77</v>
      </c>
      <c r="S1009" s="20"/>
      <c r="T1009" s="76" t="s">
        <v>2416</v>
      </c>
      <c r="U1009" s="77"/>
      <c r="V1009" s="26" t="s">
        <v>79</v>
      </c>
      <c r="W1009" s="25"/>
      <c r="X1009" s="26" t="s">
        <v>80</v>
      </c>
      <c r="Y1009" s="60"/>
      <c r="Z1009" s="26" t="s">
        <v>80</v>
      </c>
      <c r="AA1009" s="25"/>
      <c r="AB1009" s="26" t="s">
        <v>80</v>
      </c>
      <c r="AD1009" s="23" t="s">
        <v>2411</v>
      </c>
    </row>
    <row r="1010" spans="2:30" ht="84.95">
      <c r="B1010" s="21" t="s">
        <v>2683</v>
      </c>
      <c r="C1010" s="20"/>
      <c r="D1010" s="21" t="s">
        <v>2574</v>
      </c>
      <c r="E1010" s="20"/>
      <c r="F1010" s="23" t="s">
        <v>394</v>
      </c>
      <c r="H1010" s="21" t="s">
        <v>2406</v>
      </c>
      <c r="J1010" s="21" t="s">
        <v>411</v>
      </c>
      <c r="L1010" s="21" t="s">
        <v>737</v>
      </c>
      <c r="N1010" s="21" t="s">
        <v>236</v>
      </c>
      <c r="P1010" s="21" t="s">
        <v>2405</v>
      </c>
      <c r="R1010" s="21" t="s">
        <v>77</v>
      </c>
      <c r="S1010" s="20"/>
      <c r="T1010" s="76" t="s">
        <v>2416</v>
      </c>
      <c r="U1010" s="77"/>
      <c r="V1010" s="26" t="s">
        <v>79</v>
      </c>
      <c r="W1010" s="25"/>
      <c r="X1010" s="26" t="s">
        <v>80</v>
      </c>
      <c r="Y1010" s="60"/>
      <c r="Z1010" s="26" t="s">
        <v>80</v>
      </c>
      <c r="AA1010" s="25"/>
      <c r="AB1010" s="26" t="s">
        <v>80</v>
      </c>
      <c r="AD1010" s="23" t="s">
        <v>2411</v>
      </c>
    </row>
    <row r="1011" spans="2:30" ht="84.95">
      <c r="B1011" s="21" t="s">
        <v>2684</v>
      </c>
      <c r="C1011" s="20"/>
      <c r="D1011" s="21" t="s">
        <v>2574</v>
      </c>
      <c r="E1011" s="20"/>
      <c r="F1011" s="23" t="s">
        <v>394</v>
      </c>
      <c r="H1011" s="21" t="s">
        <v>2406</v>
      </c>
      <c r="J1011" s="21" t="s">
        <v>411</v>
      </c>
      <c r="L1011" s="21" t="s">
        <v>737</v>
      </c>
      <c r="N1011" s="21" t="s">
        <v>236</v>
      </c>
      <c r="P1011" s="21" t="s">
        <v>2405</v>
      </c>
      <c r="R1011" s="21" t="s">
        <v>77</v>
      </c>
      <c r="S1011" s="20"/>
      <c r="T1011" s="76" t="s">
        <v>2416</v>
      </c>
      <c r="V1011" s="26" t="s">
        <v>79</v>
      </c>
      <c r="W1011" s="25"/>
      <c r="X1011" s="26" t="s">
        <v>80</v>
      </c>
      <c r="Y1011" s="60"/>
      <c r="Z1011" s="26" t="s">
        <v>80</v>
      </c>
      <c r="AA1011" s="25"/>
      <c r="AB1011" s="26" t="s">
        <v>80</v>
      </c>
      <c r="AD1011" s="23" t="s">
        <v>2411</v>
      </c>
    </row>
    <row r="1012" spans="2:30" ht="84.95">
      <c r="B1012" s="21" t="s">
        <v>2685</v>
      </c>
      <c r="C1012" s="20"/>
      <c r="D1012" s="21" t="s">
        <v>2574</v>
      </c>
      <c r="E1012" s="20"/>
      <c r="F1012" s="23" t="s">
        <v>394</v>
      </c>
      <c r="H1012" s="21" t="s">
        <v>2406</v>
      </c>
      <c r="J1012" s="21" t="s">
        <v>411</v>
      </c>
      <c r="L1012" s="21" t="s">
        <v>737</v>
      </c>
      <c r="N1012" s="21" t="s">
        <v>236</v>
      </c>
      <c r="P1012" s="21" t="s">
        <v>2405</v>
      </c>
      <c r="R1012" s="21" t="s">
        <v>77</v>
      </c>
      <c r="S1012" s="20"/>
      <c r="T1012" s="76" t="s">
        <v>2416</v>
      </c>
      <c r="V1012" s="26" t="s">
        <v>79</v>
      </c>
      <c r="W1012" s="25"/>
      <c r="X1012" s="26" t="s">
        <v>80</v>
      </c>
      <c r="Y1012" s="60"/>
      <c r="Z1012" s="26" t="s">
        <v>80</v>
      </c>
      <c r="AA1012" s="25"/>
      <c r="AB1012" s="26" t="s">
        <v>80</v>
      </c>
      <c r="AD1012" s="23" t="s">
        <v>2411</v>
      </c>
    </row>
    <row r="1013" spans="2:30" ht="84.95">
      <c r="B1013" s="21" t="s">
        <v>2686</v>
      </c>
      <c r="C1013" s="20"/>
      <c r="D1013" s="21" t="s">
        <v>2574</v>
      </c>
      <c r="E1013" s="20"/>
      <c r="F1013" s="23" t="s">
        <v>394</v>
      </c>
      <c r="H1013" s="21" t="s">
        <v>2406</v>
      </c>
      <c r="J1013" s="21" t="s">
        <v>411</v>
      </c>
      <c r="L1013" s="21" t="s">
        <v>737</v>
      </c>
      <c r="N1013" s="21" t="s">
        <v>236</v>
      </c>
      <c r="P1013" s="21" t="s">
        <v>2405</v>
      </c>
      <c r="R1013" s="21" t="s">
        <v>77</v>
      </c>
      <c r="S1013" s="20"/>
      <c r="T1013" s="76" t="s">
        <v>2416</v>
      </c>
      <c r="V1013" s="26" t="s">
        <v>79</v>
      </c>
      <c r="W1013" s="25"/>
      <c r="X1013" s="26" t="s">
        <v>80</v>
      </c>
      <c r="Y1013" s="60"/>
      <c r="Z1013" s="26" t="s">
        <v>80</v>
      </c>
      <c r="AA1013" s="25"/>
      <c r="AB1013" s="26" t="s">
        <v>80</v>
      </c>
      <c r="AD1013" s="23" t="s">
        <v>2411</v>
      </c>
    </row>
    <row r="1014" spans="2:30" ht="84.95">
      <c r="B1014" s="21" t="s">
        <v>2687</v>
      </c>
      <c r="C1014" s="20"/>
      <c r="D1014" s="21" t="s">
        <v>2574</v>
      </c>
      <c r="E1014" s="20"/>
      <c r="F1014" s="23" t="s">
        <v>394</v>
      </c>
      <c r="H1014" s="21" t="s">
        <v>2406</v>
      </c>
      <c r="J1014" s="21" t="s">
        <v>411</v>
      </c>
      <c r="L1014" s="21" t="s">
        <v>737</v>
      </c>
      <c r="N1014" s="21" t="s">
        <v>236</v>
      </c>
      <c r="P1014" s="21" t="s">
        <v>2405</v>
      </c>
      <c r="R1014" s="21" t="s">
        <v>77</v>
      </c>
      <c r="S1014" s="20"/>
      <c r="T1014" s="76" t="s">
        <v>2416</v>
      </c>
      <c r="U1014" s="77"/>
      <c r="V1014" s="26" t="s">
        <v>79</v>
      </c>
      <c r="W1014" s="25"/>
      <c r="X1014" s="26" t="s">
        <v>80</v>
      </c>
      <c r="Y1014" s="60"/>
      <c r="Z1014" s="26" t="s">
        <v>80</v>
      </c>
      <c r="AA1014" s="25"/>
      <c r="AB1014" s="26" t="s">
        <v>80</v>
      </c>
      <c r="AD1014" s="23" t="s">
        <v>2411</v>
      </c>
    </row>
    <row r="1015" spans="2:30" ht="84.95">
      <c r="B1015" s="21" t="s">
        <v>2688</v>
      </c>
      <c r="C1015" s="20"/>
      <c r="D1015" s="21" t="s">
        <v>2574</v>
      </c>
      <c r="E1015" s="20"/>
      <c r="F1015" s="23" t="s">
        <v>394</v>
      </c>
      <c r="H1015" s="21" t="s">
        <v>2406</v>
      </c>
      <c r="J1015" s="21" t="s">
        <v>411</v>
      </c>
      <c r="L1015" s="21" t="s">
        <v>737</v>
      </c>
      <c r="N1015" s="21" t="s">
        <v>236</v>
      </c>
      <c r="P1015" s="21" t="s">
        <v>2405</v>
      </c>
      <c r="R1015" s="21" t="s">
        <v>77</v>
      </c>
      <c r="S1015" s="20"/>
      <c r="T1015" s="76" t="s">
        <v>2416</v>
      </c>
      <c r="U1015" s="77"/>
      <c r="V1015" s="26" t="s">
        <v>79</v>
      </c>
      <c r="W1015" s="25"/>
      <c r="X1015" s="26" t="s">
        <v>80</v>
      </c>
      <c r="Y1015" s="60"/>
      <c r="Z1015" s="26" t="s">
        <v>80</v>
      </c>
      <c r="AA1015" s="25"/>
      <c r="AB1015" s="26" t="s">
        <v>80</v>
      </c>
      <c r="AD1015" s="23" t="s">
        <v>2411</v>
      </c>
    </row>
    <row r="1016" spans="2:30" ht="84.95">
      <c r="B1016" s="21" t="s">
        <v>2689</v>
      </c>
      <c r="C1016" s="20"/>
      <c r="D1016" s="21" t="s">
        <v>2574</v>
      </c>
      <c r="E1016" s="20"/>
      <c r="F1016" s="23" t="s">
        <v>394</v>
      </c>
      <c r="H1016" s="21" t="s">
        <v>2406</v>
      </c>
      <c r="J1016" s="21" t="s">
        <v>411</v>
      </c>
      <c r="L1016" s="21" t="s">
        <v>737</v>
      </c>
      <c r="N1016" s="21" t="s">
        <v>236</v>
      </c>
      <c r="P1016" s="21" t="s">
        <v>2405</v>
      </c>
      <c r="R1016" s="21" t="s">
        <v>77</v>
      </c>
      <c r="S1016" s="20"/>
      <c r="T1016" s="76" t="s">
        <v>2416</v>
      </c>
      <c r="U1016" s="77"/>
      <c r="V1016" s="26" t="s">
        <v>79</v>
      </c>
      <c r="W1016" s="25"/>
      <c r="X1016" s="26" t="s">
        <v>80</v>
      </c>
      <c r="Y1016" s="60"/>
      <c r="Z1016" s="26" t="s">
        <v>80</v>
      </c>
      <c r="AA1016" s="25"/>
      <c r="AB1016" s="26" t="s">
        <v>80</v>
      </c>
      <c r="AD1016" s="23" t="s">
        <v>2411</v>
      </c>
    </row>
    <row r="1017" spans="2:30" ht="84.95">
      <c r="B1017" s="21" t="s">
        <v>2690</v>
      </c>
      <c r="C1017" s="20"/>
      <c r="D1017" s="21" t="s">
        <v>2574</v>
      </c>
      <c r="E1017" s="20"/>
      <c r="F1017" s="23" t="s">
        <v>394</v>
      </c>
      <c r="H1017" s="21" t="s">
        <v>2406</v>
      </c>
      <c r="J1017" s="21" t="s">
        <v>411</v>
      </c>
      <c r="L1017" s="21" t="s">
        <v>737</v>
      </c>
      <c r="N1017" s="21" t="s">
        <v>236</v>
      </c>
      <c r="P1017" s="21" t="s">
        <v>2405</v>
      </c>
      <c r="R1017" s="21" t="s">
        <v>77</v>
      </c>
      <c r="S1017" s="20"/>
      <c r="T1017" s="76" t="s">
        <v>2416</v>
      </c>
      <c r="U1017" s="77"/>
      <c r="V1017" s="26" t="s">
        <v>79</v>
      </c>
      <c r="W1017" s="25"/>
      <c r="X1017" s="26" t="s">
        <v>80</v>
      </c>
      <c r="Y1017" s="60"/>
      <c r="Z1017" s="26" t="s">
        <v>80</v>
      </c>
      <c r="AA1017" s="25"/>
      <c r="AB1017" s="26" t="s">
        <v>80</v>
      </c>
      <c r="AD1017" s="23" t="s">
        <v>2411</v>
      </c>
    </row>
    <row r="1018" spans="2:30" ht="84.95">
      <c r="B1018" s="21" t="s">
        <v>2691</v>
      </c>
      <c r="C1018" s="20"/>
      <c r="D1018" s="21" t="s">
        <v>2574</v>
      </c>
      <c r="E1018" s="20"/>
      <c r="F1018" s="23" t="s">
        <v>394</v>
      </c>
      <c r="H1018" s="21" t="s">
        <v>2406</v>
      </c>
      <c r="J1018" s="21" t="s">
        <v>411</v>
      </c>
      <c r="L1018" s="21" t="s">
        <v>737</v>
      </c>
      <c r="N1018" s="21" t="s">
        <v>236</v>
      </c>
      <c r="P1018" s="21" t="s">
        <v>2405</v>
      </c>
      <c r="R1018" s="21" t="s">
        <v>77</v>
      </c>
      <c r="S1018" s="20"/>
      <c r="T1018" s="76" t="s">
        <v>2416</v>
      </c>
      <c r="V1018" s="26" t="s">
        <v>79</v>
      </c>
      <c r="W1018" s="25"/>
      <c r="X1018" s="26" t="s">
        <v>80</v>
      </c>
      <c r="Y1018" s="60"/>
      <c r="Z1018" s="26" t="s">
        <v>80</v>
      </c>
      <c r="AA1018" s="25"/>
      <c r="AB1018" s="26" t="s">
        <v>80</v>
      </c>
      <c r="AD1018" s="23" t="s">
        <v>2411</v>
      </c>
    </row>
    <row r="1019" spans="2:30" ht="84.95">
      <c r="B1019" s="21" t="s">
        <v>2692</v>
      </c>
      <c r="C1019" s="20"/>
      <c r="D1019" s="21" t="s">
        <v>2574</v>
      </c>
      <c r="E1019" s="20"/>
      <c r="F1019" s="23" t="s">
        <v>394</v>
      </c>
      <c r="H1019" s="21" t="s">
        <v>2406</v>
      </c>
      <c r="J1019" s="21" t="s">
        <v>411</v>
      </c>
      <c r="L1019" s="21" t="s">
        <v>737</v>
      </c>
      <c r="N1019" s="21" t="s">
        <v>236</v>
      </c>
      <c r="P1019" s="21" t="s">
        <v>2405</v>
      </c>
      <c r="R1019" s="21" t="s">
        <v>77</v>
      </c>
      <c r="S1019" s="20"/>
      <c r="T1019" s="76" t="s">
        <v>2416</v>
      </c>
      <c r="U1019" s="77"/>
      <c r="V1019" s="26" t="s">
        <v>79</v>
      </c>
      <c r="W1019" s="25"/>
      <c r="X1019" s="26" t="s">
        <v>80</v>
      </c>
      <c r="Y1019" s="60"/>
      <c r="Z1019" s="26" t="s">
        <v>80</v>
      </c>
      <c r="AA1019" s="25"/>
      <c r="AB1019" s="26" t="s">
        <v>80</v>
      </c>
      <c r="AD1019" s="23" t="s">
        <v>2411</v>
      </c>
    </row>
    <row r="1020" spans="2:30" ht="84.95">
      <c r="B1020" s="21" t="s">
        <v>2693</v>
      </c>
      <c r="C1020" s="20"/>
      <c r="D1020" s="21" t="s">
        <v>2574</v>
      </c>
      <c r="E1020" s="20"/>
      <c r="F1020" s="23" t="s">
        <v>394</v>
      </c>
      <c r="H1020" s="21" t="s">
        <v>2406</v>
      </c>
      <c r="J1020" s="21" t="s">
        <v>411</v>
      </c>
      <c r="L1020" s="21" t="s">
        <v>737</v>
      </c>
      <c r="N1020" s="21" t="s">
        <v>236</v>
      </c>
      <c r="P1020" s="21" t="s">
        <v>2405</v>
      </c>
      <c r="R1020" s="21" t="s">
        <v>77</v>
      </c>
      <c r="S1020" s="20"/>
      <c r="T1020" s="76" t="s">
        <v>2416</v>
      </c>
      <c r="U1020" s="77"/>
      <c r="V1020" s="26" t="s">
        <v>79</v>
      </c>
      <c r="W1020" s="25"/>
      <c r="X1020" s="26" t="s">
        <v>80</v>
      </c>
      <c r="Y1020" s="60"/>
      <c r="Z1020" s="26" t="s">
        <v>80</v>
      </c>
      <c r="AA1020" s="25"/>
      <c r="AB1020" s="26" t="s">
        <v>80</v>
      </c>
      <c r="AD1020" s="23" t="s">
        <v>2411</v>
      </c>
    </row>
    <row r="1021" spans="2:30" ht="84.95">
      <c r="B1021" s="21" t="s">
        <v>2694</v>
      </c>
      <c r="C1021" s="20"/>
      <c r="D1021" s="21" t="s">
        <v>2574</v>
      </c>
      <c r="E1021" s="20"/>
      <c r="F1021" s="23" t="s">
        <v>394</v>
      </c>
      <c r="H1021" s="21" t="s">
        <v>2406</v>
      </c>
      <c r="J1021" s="21" t="s">
        <v>411</v>
      </c>
      <c r="L1021" s="21" t="s">
        <v>737</v>
      </c>
      <c r="N1021" s="21" t="s">
        <v>236</v>
      </c>
      <c r="P1021" s="21" t="s">
        <v>2405</v>
      </c>
      <c r="R1021" s="21" t="s">
        <v>77</v>
      </c>
      <c r="S1021" s="20"/>
      <c r="T1021" s="76" t="s">
        <v>2416</v>
      </c>
      <c r="U1021" s="77"/>
      <c r="V1021" s="26" t="s">
        <v>79</v>
      </c>
      <c r="W1021" s="25"/>
      <c r="X1021" s="26" t="s">
        <v>80</v>
      </c>
      <c r="Y1021" s="60"/>
      <c r="Z1021" s="26" t="s">
        <v>80</v>
      </c>
      <c r="AA1021" s="25"/>
      <c r="AB1021" s="26" t="s">
        <v>80</v>
      </c>
      <c r="AD1021" s="23" t="s">
        <v>2411</v>
      </c>
    </row>
    <row r="1022" spans="2:30" ht="84.95">
      <c r="B1022" s="21" t="s">
        <v>2695</v>
      </c>
      <c r="C1022" s="20"/>
      <c r="D1022" s="21" t="s">
        <v>2574</v>
      </c>
      <c r="E1022" s="20"/>
      <c r="F1022" s="23" t="s">
        <v>394</v>
      </c>
      <c r="H1022" s="21" t="s">
        <v>2406</v>
      </c>
      <c r="J1022" s="21" t="s">
        <v>411</v>
      </c>
      <c r="L1022" s="21" t="s">
        <v>737</v>
      </c>
      <c r="N1022" s="21" t="s">
        <v>236</v>
      </c>
      <c r="P1022" s="21" t="s">
        <v>2405</v>
      </c>
      <c r="R1022" s="21" t="s">
        <v>77</v>
      </c>
      <c r="S1022" s="20"/>
      <c r="T1022" s="76" t="s">
        <v>2416</v>
      </c>
      <c r="U1022" s="77"/>
      <c r="V1022" s="26" t="s">
        <v>79</v>
      </c>
      <c r="W1022" s="25"/>
      <c r="X1022" s="26" t="s">
        <v>80</v>
      </c>
      <c r="Y1022" s="60"/>
      <c r="Z1022" s="26" t="s">
        <v>80</v>
      </c>
      <c r="AA1022" s="25"/>
      <c r="AB1022" s="26" t="s">
        <v>80</v>
      </c>
      <c r="AD1022" s="23" t="s">
        <v>2411</v>
      </c>
    </row>
    <row r="1023" spans="2:30" ht="84.95">
      <c r="B1023" s="21" t="s">
        <v>2696</v>
      </c>
      <c r="C1023" s="20"/>
      <c r="D1023" s="21" t="s">
        <v>2574</v>
      </c>
      <c r="E1023" s="20"/>
      <c r="F1023" s="23" t="s">
        <v>394</v>
      </c>
      <c r="H1023" s="21" t="s">
        <v>2406</v>
      </c>
      <c r="J1023" s="21" t="s">
        <v>411</v>
      </c>
      <c r="L1023" s="21" t="s">
        <v>737</v>
      </c>
      <c r="N1023" s="21" t="s">
        <v>236</v>
      </c>
      <c r="P1023" s="21" t="s">
        <v>2405</v>
      </c>
      <c r="R1023" s="21" t="s">
        <v>77</v>
      </c>
      <c r="S1023" s="20"/>
      <c r="T1023" s="76" t="s">
        <v>2416</v>
      </c>
      <c r="U1023" s="77"/>
      <c r="V1023" s="26" t="s">
        <v>79</v>
      </c>
      <c r="W1023" s="25"/>
      <c r="X1023" s="26" t="s">
        <v>80</v>
      </c>
      <c r="Y1023" s="60"/>
      <c r="Z1023" s="26" t="s">
        <v>80</v>
      </c>
      <c r="AA1023" s="25"/>
      <c r="AB1023" s="26" t="s">
        <v>80</v>
      </c>
      <c r="AD1023" s="23" t="s">
        <v>2411</v>
      </c>
    </row>
    <row r="1024" spans="2:30" ht="84.95">
      <c r="B1024" s="21" t="s">
        <v>2697</v>
      </c>
      <c r="C1024" s="20"/>
      <c r="D1024" s="21" t="s">
        <v>2574</v>
      </c>
      <c r="E1024" s="20"/>
      <c r="F1024" s="23" t="s">
        <v>394</v>
      </c>
      <c r="H1024" s="21" t="s">
        <v>2406</v>
      </c>
      <c r="J1024" s="21" t="s">
        <v>411</v>
      </c>
      <c r="L1024" s="21" t="s">
        <v>737</v>
      </c>
      <c r="N1024" s="21" t="s">
        <v>236</v>
      </c>
      <c r="P1024" s="21" t="s">
        <v>2405</v>
      </c>
      <c r="R1024" s="21" t="s">
        <v>77</v>
      </c>
      <c r="S1024" s="20"/>
      <c r="T1024" s="76" t="s">
        <v>2416</v>
      </c>
      <c r="U1024" s="77"/>
      <c r="V1024" s="26" t="s">
        <v>79</v>
      </c>
      <c r="W1024" s="25"/>
      <c r="X1024" s="26" t="s">
        <v>80</v>
      </c>
      <c r="Y1024" s="60"/>
      <c r="Z1024" s="26" t="s">
        <v>80</v>
      </c>
      <c r="AA1024" s="25"/>
      <c r="AB1024" s="26" t="s">
        <v>80</v>
      </c>
      <c r="AD1024" s="23" t="s">
        <v>2411</v>
      </c>
    </row>
    <row r="1025" spans="2:30" ht="84.95">
      <c r="B1025" s="21" t="s">
        <v>2698</v>
      </c>
      <c r="C1025" s="20"/>
      <c r="D1025" s="21" t="s">
        <v>2574</v>
      </c>
      <c r="E1025" s="20"/>
      <c r="F1025" s="23" t="s">
        <v>394</v>
      </c>
      <c r="H1025" s="21" t="s">
        <v>2406</v>
      </c>
      <c r="J1025" s="21" t="s">
        <v>411</v>
      </c>
      <c r="L1025" s="21" t="s">
        <v>737</v>
      </c>
      <c r="N1025" s="21" t="s">
        <v>236</v>
      </c>
      <c r="P1025" s="21" t="s">
        <v>2405</v>
      </c>
      <c r="R1025" s="21" t="s">
        <v>77</v>
      </c>
      <c r="S1025" s="20"/>
      <c r="T1025" s="76" t="s">
        <v>2416</v>
      </c>
      <c r="U1025" s="77"/>
      <c r="V1025" s="26" t="s">
        <v>79</v>
      </c>
      <c r="W1025" s="25"/>
      <c r="X1025" s="26" t="s">
        <v>80</v>
      </c>
      <c r="Y1025" s="60"/>
      <c r="Z1025" s="26" t="s">
        <v>80</v>
      </c>
      <c r="AA1025" s="25"/>
      <c r="AB1025" s="26" t="s">
        <v>80</v>
      </c>
      <c r="AD1025" s="23" t="s">
        <v>2411</v>
      </c>
    </row>
    <row r="1026" spans="2:30" ht="84.95">
      <c r="B1026" s="21" t="s">
        <v>2699</v>
      </c>
      <c r="C1026" s="20"/>
      <c r="D1026" s="21" t="s">
        <v>2574</v>
      </c>
      <c r="E1026" s="20"/>
      <c r="F1026" s="23" t="s">
        <v>394</v>
      </c>
      <c r="H1026" s="21" t="s">
        <v>2406</v>
      </c>
      <c r="J1026" s="21" t="s">
        <v>411</v>
      </c>
      <c r="L1026" s="21" t="s">
        <v>737</v>
      </c>
      <c r="N1026" s="21" t="s">
        <v>236</v>
      </c>
      <c r="P1026" s="21" t="s">
        <v>2405</v>
      </c>
      <c r="R1026" s="21" t="s">
        <v>77</v>
      </c>
      <c r="S1026" s="20"/>
      <c r="T1026" s="76" t="s">
        <v>2416</v>
      </c>
      <c r="U1026" s="77"/>
      <c r="V1026" s="26" t="s">
        <v>79</v>
      </c>
      <c r="W1026" s="25"/>
      <c r="X1026" s="26" t="s">
        <v>80</v>
      </c>
      <c r="Y1026" s="60"/>
      <c r="Z1026" s="26" t="s">
        <v>80</v>
      </c>
      <c r="AA1026" s="25"/>
      <c r="AB1026" s="26" t="s">
        <v>80</v>
      </c>
      <c r="AD1026" s="23" t="s">
        <v>2411</v>
      </c>
    </row>
    <row r="1027" spans="2:30" ht="84.95">
      <c r="B1027" s="21" t="s">
        <v>2700</v>
      </c>
      <c r="C1027" s="20"/>
      <c r="D1027" s="21" t="s">
        <v>2574</v>
      </c>
      <c r="E1027" s="20"/>
      <c r="F1027" s="23" t="s">
        <v>394</v>
      </c>
      <c r="H1027" s="21" t="s">
        <v>2406</v>
      </c>
      <c r="J1027" s="21" t="s">
        <v>411</v>
      </c>
      <c r="L1027" s="21" t="s">
        <v>737</v>
      </c>
      <c r="N1027" s="21" t="s">
        <v>236</v>
      </c>
      <c r="P1027" s="21" t="s">
        <v>2405</v>
      </c>
      <c r="R1027" s="21" t="s">
        <v>77</v>
      </c>
      <c r="S1027" s="20"/>
      <c r="T1027" s="76" t="s">
        <v>2416</v>
      </c>
      <c r="U1027" s="77"/>
      <c r="V1027" s="26" t="s">
        <v>79</v>
      </c>
      <c r="W1027" s="25"/>
      <c r="X1027" s="26" t="s">
        <v>80</v>
      </c>
      <c r="Y1027" s="60"/>
      <c r="Z1027" s="26" t="s">
        <v>80</v>
      </c>
      <c r="AA1027" s="25"/>
      <c r="AB1027" s="26" t="s">
        <v>80</v>
      </c>
      <c r="AD1027" s="23" t="s">
        <v>2411</v>
      </c>
    </row>
    <row r="1028" spans="2:30" ht="84.95">
      <c r="B1028" s="21" t="s">
        <v>2701</v>
      </c>
      <c r="C1028" s="20"/>
      <c r="D1028" s="21" t="s">
        <v>2574</v>
      </c>
      <c r="E1028" s="20"/>
      <c r="F1028" s="23" t="s">
        <v>394</v>
      </c>
      <c r="H1028" s="21" t="s">
        <v>2406</v>
      </c>
      <c r="J1028" s="21" t="s">
        <v>411</v>
      </c>
      <c r="L1028" s="21" t="s">
        <v>737</v>
      </c>
      <c r="N1028" s="21" t="s">
        <v>236</v>
      </c>
      <c r="P1028" s="21" t="s">
        <v>2405</v>
      </c>
      <c r="R1028" s="21" t="s">
        <v>77</v>
      </c>
      <c r="S1028" s="20"/>
      <c r="T1028" s="76" t="s">
        <v>2416</v>
      </c>
      <c r="U1028" s="77"/>
      <c r="V1028" s="26" t="s">
        <v>79</v>
      </c>
      <c r="W1028" s="25"/>
      <c r="X1028" s="26" t="s">
        <v>80</v>
      </c>
      <c r="Y1028" s="60"/>
      <c r="Z1028" s="26" t="s">
        <v>80</v>
      </c>
      <c r="AA1028" s="25"/>
      <c r="AB1028" s="26" t="s">
        <v>80</v>
      </c>
      <c r="AD1028" s="23" t="s">
        <v>2411</v>
      </c>
    </row>
    <row r="1029" spans="2:30" ht="84.95">
      <c r="B1029" s="21" t="s">
        <v>2702</v>
      </c>
      <c r="C1029" s="20"/>
      <c r="D1029" s="21" t="s">
        <v>2574</v>
      </c>
      <c r="E1029" s="20"/>
      <c r="F1029" s="23" t="s">
        <v>394</v>
      </c>
      <c r="H1029" s="21" t="s">
        <v>2406</v>
      </c>
      <c r="J1029" s="21" t="s">
        <v>411</v>
      </c>
      <c r="L1029" s="21" t="s">
        <v>737</v>
      </c>
      <c r="N1029" s="21" t="s">
        <v>236</v>
      </c>
      <c r="P1029" s="21" t="s">
        <v>2405</v>
      </c>
      <c r="R1029" s="21" t="s">
        <v>77</v>
      </c>
      <c r="S1029" s="20"/>
      <c r="T1029" s="76" t="s">
        <v>2416</v>
      </c>
      <c r="U1029" s="77"/>
      <c r="V1029" s="26" t="s">
        <v>79</v>
      </c>
      <c r="W1029" s="25"/>
      <c r="X1029" s="26" t="s">
        <v>80</v>
      </c>
      <c r="Y1029" s="60"/>
      <c r="Z1029" s="26" t="s">
        <v>80</v>
      </c>
      <c r="AA1029" s="25"/>
      <c r="AB1029" s="26" t="s">
        <v>80</v>
      </c>
      <c r="AD1029" s="23" t="s">
        <v>2411</v>
      </c>
    </row>
    <row r="1030" spans="2:30" ht="84.95">
      <c r="B1030" s="21" t="s">
        <v>2703</v>
      </c>
      <c r="C1030" s="20"/>
      <c r="D1030" s="21" t="s">
        <v>2574</v>
      </c>
      <c r="E1030" s="20"/>
      <c r="F1030" s="23" t="s">
        <v>394</v>
      </c>
      <c r="H1030" s="21" t="s">
        <v>2406</v>
      </c>
      <c r="J1030" s="21" t="s">
        <v>411</v>
      </c>
      <c r="L1030" s="21" t="s">
        <v>737</v>
      </c>
      <c r="N1030" s="21" t="s">
        <v>236</v>
      </c>
      <c r="P1030" s="21" t="s">
        <v>2405</v>
      </c>
      <c r="R1030" s="21" t="s">
        <v>77</v>
      </c>
      <c r="S1030" s="20"/>
      <c r="T1030" s="76" t="s">
        <v>2416</v>
      </c>
      <c r="U1030" s="77"/>
      <c r="V1030" s="26" t="s">
        <v>79</v>
      </c>
      <c r="W1030" s="25"/>
      <c r="X1030" s="26" t="s">
        <v>80</v>
      </c>
      <c r="Y1030" s="60"/>
      <c r="Z1030" s="26" t="s">
        <v>80</v>
      </c>
      <c r="AA1030" s="25"/>
      <c r="AB1030" s="26" t="s">
        <v>80</v>
      </c>
      <c r="AD1030" s="23" t="s">
        <v>2411</v>
      </c>
    </row>
    <row r="1031" spans="2:30" ht="84.95">
      <c r="B1031" s="21" t="s">
        <v>2704</v>
      </c>
      <c r="C1031" s="20"/>
      <c r="D1031" s="21" t="s">
        <v>2574</v>
      </c>
      <c r="E1031" s="20"/>
      <c r="F1031" s="23" t="s">
        <v>394</v>
      </c>
      <c r="H1031" s="21" t="s">
        <v>2406</v>
      </c>
      <c r="J1031" s="21" t="s">
        <v>411</v>
      </c>
      <c r="L1031" s="21" t="s">
        <v>737</v>
      </c>
      <c r="N1031" s="21" t="s">
        <v>236</v>
      </c>
      <c r="P1031" s="21" t="s">
        <v>2405</v>
      </c>
      <c r="R1031" s="21" t="s">
        <v>77</v>
      </c>
      <c r="S1031" s="20"/>
      <c r="T1031" s="76" t="s">
        <v>2416</v>
      </c>
      <c r="U1031" s="77"/>
      <c r="V1031" s="26" t="s">
        <v>79</v>
      </c>
      <c r="W1031" s="25"/>
      <c r="X1031" s="26" t="s">
        <v>80</v>
      </c>
      <c r="Y1031" s="60"/>
      <c r="Z1031" s="26" t="s">
        <v>80</v>
      </c>
      <c r="AA1031" s="25"/>
      <c r="AB1031" s="26" t="s">
        <v>80</v>
      </c>
      <c r="AD1031" s="23" t="s">
        <v>2411</v>
      </c>
    </row>
    <row r="1032" spans="2:30" ht="84.95">
      <c r="B1032" s="21" t="s">
        <v>2705</v>
      </c>
      <c r="C1032" s="20"/>
      <c r="D1032" s="21" t="s">
        <v>2574</v>
      </c>
      <c r="E1032" s="20"/>
      <c r="F1032" s="23" t="s">
        <v>394</v>
      </c>
      <c r="H1032" s="21" t="s">
        <v>2406</v>
      </c>
      <c r="J1032" s="21" t="s">
        <v>411</v>
      </c>
      <c r="L1032" s="21" t="s">
        <v>737</v>
      </c>
      <c r="N1032" s="21" t="s">
        <v>236</v>
      </c>
      <c r="P1032" s="21" t="s">
        <v>2405</v>
      </c>
      <c r="R1032" s="21" t="s">
        <v>77</v>
      </c>
      <c r="S1032" s="20"/>
      <c r="T1032" s="76" t="s">
        <v>2416</v>
      </c>
      <c r="U1032" s="77"/>
      <c r="V1032" s="26" t="s">
        <v>79</v>
      </c>
      <c r="W1032" s="25"/>
      <c r="X1032" s="26" t="s">
        <v>80</v>
      </c>
      <c r="Y1032" s="60"/>
      <c r="Z1032" s="26" t="s">
        <v>80</v>
      </c>
      <c r="AA1032" s="25"/>
      <c r="AB1032" s="26" t="s">
        <v>80</v>
      </c>
      <c r="AD1032" s="23" t="s">
        <v>2411</v>
      </c>
    </row>
    <row r="1033" spans="2:30" ht="84.95">
      <c r="B1033" s="21" t="s">
        <v>2706</v>
      </c>
      <c r="C1033" s="20"/>
      <c r="D1033" s="21" t="s">
        <v>2574</v>
      </c>
      <c r="E1033" s="20"/>
      <c r="F1033" s="23" t="s">
        <v>394</v>
      </c>
      <c r="H1033" s="21" t="s">
        <v>2406</v>
      </c>
      <c r="J1033" s="21" t="s">
        <v>411</v>
      </c>
      <c r="L1033" s="21" t="s">
        <v>737</v>
      </c>
      <c r="N1033" s="21" t="s">
        <v>236</v>
      </c>
      <c r="P1033" s="21" t="s">
        <v>2405</v>
      </c>
      <c r="R1033" s="21" t="s">
        <v>77</v>
      </c>
      <c r="S1033" s="20"/>
      <c r="T1033" s="76" t="s">
        <v>2416</v>
      </c>
      <c r="U1033" s="77"/>
      <c r="V1033" s="26" t="s">
        <v>79</v>
      </c>
      <c r="W1033" s="25"/>
      <c r="X1033" s="26" t="s">
        <v>80</v>
      </c>
      <c r="Y1033" s="60"/>
      <c r="Z1033" s="26" t="s">
        <v>80</v>
      </c>
      <c r="AA1033" s="25"/>
      <c r="AB1033" s="26" t="s">
        <v>80</v>
      </c>
      <c r="AD1033" s="23" t="s">
        <v>2411</v>
      </c>
    </row>
    <row r="1034" spans="2:30" ht="84.95">
      <c r="B1034" s="21" t="s">
        <v>2707</v>
      </c>
      <c r="C1034" s="20"/>
      <c r="D1034" s="21" t="s">
        <v>2574</v>
      </c>
      <c r="E1034" s="20"/>
      <c r="F1034" s="23" t="s">
        <v>394</v>
      </c>
      <c r="H1034" s="21" t="s">
        <v>2406</v>
      </c>
      <c r="J1034" s="21" t="s">
        <v>411</v>
      </c>
      <c r="L1034" s="21" t="s">
        <v>737</v>
      </c>
      <c r="N1034" s="21" t="s">
        <v>236</v>
      </c>
      <c r="P1034" s="21" t="s">
        <v>2405</v>
      </c>
      <c r="R1034" s="21" t="s">
        <v>77</v>
      </c>
      <c r="S1034" s="20"/>
      <c r="T1034" s="76" t="s">
        <v>2416</v>
      </c>
      <c r="V1034" s="26" t="s">
        <v>79</v>
      </c>
      <c r="W1034" s="25"/>
      <c r="X1034" s="26" t="s">
        <v>80</v>
      </c>
      <c r="Y1034" s="60"/>
      <c r="Z1034" s="26" t="s">
        <v>80</v>
      </c>
      <c r="AA1034" s="25"/>
      <c r="AB1034" s="26" t="s">
        <v>80</v>
      </c>
      <c r="AD1034" s="23" t="s">
        <v>2411</v>
      </c>
    </row>
    <row r="1035" spans="2:30" ht="84.95">
      <c r="B1035" s="21" t="s">
        <v>2708</v>
      </c>
      <c r="C1035" s="20"/>
      <c r="D1035" s="21" t="s">
        <v>2574</v>
      </c>
      <c r="E1035" s="20"/>
      <c r="F1035" s="23" t="s">
        <v>394</v>
      </c>
      <c r="H1035" s="21" t="s">
        <v>2406</v>
      </c>
      <c r="J1035" s="21" t="s">
        <v>411</v>
      </c>
      <c r="L1035" s="21" t="s">
        <v>737</v>
      </c>
      <c r="N1035" s="21" t="s">
        <v>236</v>
      </c>
      <c r="P1035" s="21" t="s">
        <v>2405</v>
      </c>
      <c r="R1035" s="21" t="s">
        <v>77</v>
      </c>
      <c r="S1035" s="20"/>
      <c r="T1035" s="76" t="s">
        <v>2416</v>
      </c>
      <c r="V1035" s="26" t="s">
        <v>79</v>
      </c>
      <c r="W1035" s="25"/>
      <c r="X1035" s="26" t="s">
        <v>80</v>
      </c>
      <c r="Y1035" s="60"/>
      <c r="Z1035" s="26" t="s">
        <v>80</v>
      </c>
      <c r="AA1035" s="25"/>
      <c r="AB1035" s="26" t="s">
        <v>80</v>
      </c>
      <c r="AD1035" s="23" t="s">
        <v>2411</v>
      </c>
    </row>
    <row r="1036" spans="2:30" ht="84.95">
      <c r="B1036" s="21" t="s">
        <v>2709</v>
      </c>
      <c r="C1036" s="20"/>
      <c r="D1036" s="21" t="s">
        <v>2574</v>
      </c>
      <c r="E1036" s="20"/>
      <c r="F1036" s="23" t="s">
        <v>394</v>
      </c>
      <c r="H1036" s="21" t="s">
        <v>2406</v>
      </c>
      <c r="J1036" s="21" t="s">
        <v>411</v>
      </c>
      <c r="L1036" s="21" t="s">
        <v>737</v>
      </c>
      <c r="N1036" s="21" t="s">
        <v>236</v>
      </c>
      <c r="P1036" s="21" t="s">
        <v>2405</v>
      </c>
      <c r="R1036" s="21" t="s">
        <v>77</v>
      </c>
      <c r="S1036" s="20"/>
      <c r="T1036" s="76" t="s">
        <v>2416</v>
      </c>
      <c r="U1036" s="77"/>
      <c r="V1036" s="26" t="s">
        <v>79</v>
      </c>
      <c r="W1036" s="25"/>
      <c r="X1036" s="26" t="s">
        <v>80</v>
      </c>
      <c r="Y1036" s="60"/>
      <c r="Z1036" s="26" t="s">
        <v>80</v>
      </c>
      <c r="AA1036" s="25"/>
      <c r="AB1036" s="26" t="s">
        <v>80</v>
      </c>
      <c r="AD1036" s="23" t="s">
        <v>2411</v>
      </c>
    </row>
    <row r="1037" spans="2:30" ht="84.95">
      <c r="B1037" s="21" t="s">
        <v>2710</v>
      </c>
      <c r="C1037" s="20"/>
      <c r="D1037" s="21" t="s">
        <v>2574</v>
      </c>
      <c r="E1037" s="20"/>
      <c r="F1037" s="23" t="s">
        <v>394</v>
      </c>
      <c r="H1037" s="21" t="s">
        <v>2406</v>
      </c>
      <c r="J1037" s="21" t="s">
        <v>411</v>
      </c>
      <c r="L1037" s="21" t="s">
        <v>737</v>
      </c>
      <c r="N1037" s="21" t="s">
        <v>236</v>
      </c>
      <c r="P1037" s="21" t="s">
        <v>2405</v>
      </c>
      <c r="R1037" s="21" t="s">
        <v>77</v>
      </c>
      <c r="S1037" s="20"/>
      <c r="T1037" s="76" t="s">
        <v>2416</v>
      </c>
      <c r="V1037" s="26" t="s">
        <v>79</v>
      </c>
      <c r="W1037" s="25"/>
      <c r="X1037" s="26" t="s">
        <v>80</v>
      </c>
      <c r="Y1037" s="60"/>
      <c r="Z1037" s="26" t="s">
        <v>80</v>
      </c>
      <c r="AA1037" s="25"/>
      <c r="AB1037" s="26" t="s">
        <v>80</v>
      </c>
      <c r="AD1037" s="23" t="s">
        <v>2411</v>
      </c>
    </row>
    <row r="1038" spans="2:30" ht="84.95">
      <c r="B1038" s="21" t="s">
        <v>2711</v>
      </c>
      <c r="C1038" s="20"/>
      <c r="D1038" s="21" t="s">
        <v>2574</v>
      </c>
      <c r="E1038" s="20"/>
      <c r="F1038" s="23" t="s">
        <v>394</v>
      </c>
      <c r="H1038" s="21" t="s">
        <v>2406</v>
      </c>
      <c r="J1038" s="21" t="s">
        <v>411</v>
      </c>
      <c r="L1038" s="21" t="s">
        <v>737</v>
      </c>
      <c r="N1038" s="21" t="s">
        <v>236</v>
      </c>
      <c r="P1038" s="21" t="s">
        <v>2405</v>
      </c>
      <c r="R1038" s="21" t="s">
        <v>77</v>
      </c>
      <c r="S1038" s="20"/>
      <c r="T1038" s="76" t="s">
        <v>2416</v>
      </c>
      <c r="V1038" s="26" t="s">
        <v>79</v>
      </c>
      <c r="W1038" s="25"/>
      <c r="X1038" s="26" t="s">
        <v>80</v>
      </c>
      <c r="Y1038" s="60"/>
      <c r="Z1038" s="26" t="s">
        <v>80</v>
      </c>
      <c r="AA1038" s="25"/>
      <c r="AB1038" s="26" t="s">
        <v>80</v>
      </c>
      <c r="AD1038" s="23" t="s">
        <v>2411</v>
      </c>
    </row>
    <row r="1039" spans="2:30" ht="84.95">
      <c r="B1039" s="21" t="s">
        <v>2712</v>
      </c>
      <c r="C1039" s="20"/>
      <c r="D1039" s="21" t="s">
        <v>2574</v>
      </c>
      <c r="E1039" s="20"/>
      <c r="F1039" s="23" t="s">
        <v>394</v>
      </c>
      <c r="H1039" s="21" t="s">
        <v>2406</v>
      </c>
      <c r="J1039" s="21" t="s">
        <v>411</v>
      </c>
      <c r="L1039" s="21" t="s">
        <v>737</v>
      </c>
      <c r="N1039" s="21" t="s">
        <v>236</v>
      </c>
      <c r="P1039" s="21" t="s">
        <v>2405</v>
      </c>
      <c r="R1039" s="21" t="s">
        <v>77</v>
      </c>
      <c r="S1039" s="20"/>
      <c r="T1039" s="76" t="s">
        <v>2416</v>
      </c>
      <c r="V1039" s="26" t="s">
        <v>79</v>
      </c>
      <c r="W1039" s="25"/>
      <c r="X1039" s="26" t="s">
        <v>80</v>
      </c>
      <c r="Y1039" s="60"/>
      <c r="Z1039" s="26" t="s">
        <v>80</v>
      </c>
      <c r="AA1039" s="25"/>
      <c r="AB1039" s="26" t="s">
        <v>80</v>
      </c>
      <c r="AD1039" s="23" t="s">
        <v>2411</v>
      </c>
    </row>
    <row r="1040" spans="2:30" ht="84.95">
      <c r="B1040" s="21" t="s">
        <v>2713</v>
      </c>
      <c r="C1040" s="20"/>
      <c r="D1040" s="21" t="s">
        <v>2574</v>
      </c>
      <c r="E1040" s="20"/>
      <c r="F1040" s="23" t="s">
        <v>394</v>
      </c>
      <c r="H1040" s="21" t="s">
        <v>2406</v>
      </c>
      <c r="J1040" s="21" t="s">
        <v>411</v>
      </c>
      <c r="L1040" s="21" t="s">
        <v>737</v>
      </c>
      <c r="N1040" s="21" t="s">
        <v>236</v>
      </c>
      <c r="P1040" s="21" t="s">
        <v>2405</v>
      </c>
      <c r="R1040" s="21" t="s">
        <v>77</v>
      </c>
      <c r="S1040" s="20"/>
      <c r="T1040" s="76" t="s">
        <v>2416</v>
      </c>
      <c r="U1040" s="77"/>
      <c r="V1040" s="26" t="s">
        <v>79</v>
      </c>
      <c r="W1040" s="25"/>
      <c r="X1040" s="26" t="s">
        <v>80</v>
      </c>
      <c r="Y1040" s="60"/>
      <c r="Z1040" s="26" t="s">
        <v>80</v>
      </c>
      <c r="AA1040" s="25"/>
      <c r="AB1040" s="26" t="s">
        <v>80</v>
      </c>
      <c r="AD1040" s="23" t="s">
        <v>2411</v>
      </c>
    </row>
    <row r="1041" spans="2:30" ht="84.95">
      <c r="B1041" s="21" t="s">
        <v>2714</v>
      </c>
      <c r="C1041" s="20"/>
      <c r="D1041" s="21" t="s">
        <v>2574</v>
      </c>
      <c r="E1041" s="20"/>
      <c r="F1041" s="23" t="s">
        <v>394</v>
      </c>
      <c r="H1041" s="21" t="s">
        <v>2406</v>
      </c>
      <c r="J1041" s="21" t="s">
        <v>411</v>
      </c>
      <c r="L1041" s="21" t="s">
        <v>737</v>
      </c>
      <c r="N1041" s="21" t="s">
        <v>236</v>
      </c>
      <c r="P1041" s="21" t="s">
        <v>2405</v>
      </c>
      <c r="R1041" s="21" t="s">
        <v>77</v>
      </c>
      <c r="S1041" s="20"/>
      <c r="T1041" s="76" t="s">
        <v>2416</v>
      </c>
      <c r="U1041" s="77"/>
      <c r="V1041" s="26" t="s">
        <v>79</v>
      </c>
      <c r="W1041" s="25"/>
      <c r="X1041" s="26" t="s">
        <v>80</v>
      </c>
      <c r="Y1041" s="60"/>
      <c r="Z1041" s="26" t="s">
        <v>80</v>
      </c>
      <c r="AA1041" s="25"/>
      <c r="AB1041" s="26" t="s">
        <v>80</v>
      </c>
      <c r="AD1041" s="23" t="s">
        <v>2411</v>
      </c>
    </row>
    <row r="1042" spans="2:30" ht="84.95">
      <c r="B1042" s="21" t="s">
        <v>2715</v>
      </c>
      <c r="C1042" s="20"/>
      <c r="D1042" s="21" t="s">
        <v>2574</v>
      </c>
      <c r="E1042" s="20"/>
      <c r="F1042" s="23" t="s">
        <v>394</v>
      </c>
      <c r="H1042" s="21" t="s">
        <v>2406</v>
      </c>
      <c r="J1042" s="21" t="s">
        <v>411</v>
      </c>
      <c r="L1042" s="21" t="s">
        <v>737</v>
      </c>
      <c r="N1042" s="21" t="s">
        <v>236</v>
      </c>
      <c r="P1042" s="21" t="s">
        <v>2405</v>
      </c>
      <c r="R1042" s="21" t="s">
        <v>77</v>
      </c>
      <c r="S1042" s="20"/>
      <c r="T1042" s="76" t="s">
        <v>2416</v>
      </c>
      <c r="U1042" s="77"/>
      <c r="V1042" s="26" t="s">
        <v>79</v>
      </c>
      <c r="W1042" s="25"/>
      <c r="X1042" s="26" t="s">
        <v>80</v>
      </c>
      <c r="Y1042" s="60"/>
      <c r="Z1042" s="26" t="s">
        <v>80</v>
      </c>
      <c r="AA1042" s="25"/>
      <c r="AB1042" s="26" t="s">
        <v>80</v>
      </c>
      <c r="AD1042" s="23" t="s">
        <v>2411</v>
      </c>
    </row>
    <row r="1043" spans="2:30" ht="84.95">
      <c r="B1043" s="21" t="s">
        <v>2716</v>
      </c>
      <c r="C1043" s="20"/>
      <c r="D1043" s="21" t="s">
        <v>2574</v>
      </c>
      <c r="E1043" s="20"/>
      <c r="F1043" s="23" t="s">
        <v>394</v>
      </c>
      <c r="H1043" s="21" t="s">
        <v>2406</v>
      </c>
      <c r="J1043" s="21" t="s">
        <v>411</v>
      </c>
      <c r="L1043" s="21" t="s">
        <v>737</v>
      </c>
      <c r="N1043" s="21" t="s">
        <v>236</v>
      </c>
      <c r="P1043" s="21" t="s">
        <v>2405</v>
      </c>
      <c r="R1043" s="21" t="s">
        <v>77</v>
      </c>
      <c r="S1043" s="20"/>
      <c r="T1043" s="76" t="s">
        <v>2416</v>
      </c>
      <c r="V1043" s="26" t="s">
        <v>79</v>
      </c>
      <c r="W1043" s="25"/>
      <c r="X1043" s="26" t="s">
        <v>80</v>
      </c>
      <c r="Y1043" s="60"/>
      <c r="Z1043" s="26" t="s">
        <v>80</v>
      </c>
      <c r="AA1043" s="25"/>
      <c r="AB1043" s="26" t="s">
        <v>80</v>
      </c>
      <c r="AD1043" s="23" t="s">
        <v>2411</v>
      </c>
    </row>
    <row r="1044" spans="2:30" ht="84.95">
      <c r="B1044" s="21" t="s">
        <v>2717</v>
      </c>
      <c r="C1044" s="20"/>
      <c r="D1044" s="21" t="s">
        <v>2574</v>
      </c>
      <c r="E1044" s="20"/>
      <c r="F1044" s="23" t="s">
        <v>394</v>
      </c>
      <c r="H1044" s="21" t="s">
        <v>2406</v>
      </c>
      <c r="J1044" s="21" t="s">
        <v>411</v>
      </c>
      <c r="L1044" s="21" t="s">
        <v>737</v>
      </c>
      <c r="N1044" s="21" t="s">
        <v>236</v>
      </c>
      <c r="P1044" s="21" t="s">
        <v>2405</v>
      </c>
      <c r="R1044" s="21" t="s">
        <v>77</v>
      </c>
      <c r="S1044" s="20"/>
      <c r="T1044" s="76" t="s">
        <v>2416</v>
      </c>
      <c r="V1044" s="26" t="s">
        <v>79</v>
      </c>
      <c r="W1044" s="25"/>
      <c r="X1044" s="26" t="s">
        <v>80</v>
      </c>
      <c r="Y1044" s="60"/>
      <c r="Z1044" s="26" t="s">
        <v>80</v>
      </c>
      <c r="AA1044" s="25"/>
      <c r="AB1044" s="26" t="s">
        <v>80</v>
      </c>
      <c r="AD1044" s="23" t="s">
        <v>2411</v>
      </c>
    </row>
    <row r="1045" spans="2:30" ht="84.95">
      <c r="B1045" s="21" t="s">
        <v>2718</v>
      </c>
      <c r="C1045" s="20"/>
      <c r="D1045" s="21" t="s">
        <v>2574</v>
      </c>
      <c r="E1045" s="20"/>
      <c r="F1045" s="23" t="s">
        <v>394</v>
      </c>
      <c r="H1045" s="21" t="s">
        <v>2406</v>
      </c>
      <c r="J1045" s="21" t="s">
        <v>411</v>
      </c>
      <c r="L1045" s="21" t="s">
        <v>737</v>
      </c>
      <c r="N1045" s="21" t="s">
        <v>236</v>
      </c>
      <c r="P1045" s="21" t="s">
        <v>2405</v>
      </c>
      <c r="R1045" s="21" t="s">
        <v>77</v>
      </c>
      <c r="S1045" s="20"/>
      <c r="T1045" s="76" t="s">
        <v>2416</v>
      </c>
      <c r="V1045" s="26" t="s">
        <v>79</v>
      </c>
      <c r="W1045" s="25"/>
      <c r="X1045" s="26" t="s">
        <v>80</v>
      </c>
      <c r="Y1045" s="60"/>
      <c r="Z1045" s="26" t="s">
        <v>80</v>
      </c>
      <c r="AA1045" s="25"/>
      <c r="AB1045" s="26" t="s">
        <v>80</v>
      </c>
      <c r="AD1045" s="23" t="s">
        <v>2411</v>
      </c>
    </row>
    <row r="1046" spans="2:30" ht="84.95">
      <c r="B1046" s="21" t="s">
        <v>2719</v>
      </c>
      <c r="C1046" s="20"/>
      <c r="D1046" s="21" t="s">
        <v>2574</v>
      </c>
      <c r="E1046" s="20"/>
      <c r="F1046" s="23" t="s">
        <v>394</v>
      </c>
      <c r="H1046" s="21" t="s">
        <v>2406</v>
      </c>
      <c r="J1046" s="21" t="s">
        <v>411</v>
      </c>
      <c r="L1046" s="21" t="s">
        <v>737</v>
      </c>
      <c r="N1046" s="21" t="s">
        <v>236</v>
      </c>
      <c r="P1046" s="21" t="s">
        <v>2405</v>
      </c>
      <c r="R1046" s="21" t="s">
        <v>77</v>
      </c>
      <c r="S1046" s="20"/>
      <c r="T1046" s="76" t="s">
        <v>2416</v>
      </c>
      <c r="V1046" s="26" t="s">
        <v>79</v>
      </c>
      <c r="W1046" s="25"/>
      <c r="X1046" s="26" t="s">
        <v>80</v>
      </c>
      <c r="Y1046" s="60"/>
      <c r="Z1046" s="26" t="s">
        <v>80</v>
      </c>
      <c r="AA1046" s="25"/>
      <c r="AB1046" s="26" t="s">
        <v>80</v>
      </c>
      <c r="AD1046" s="23" t="s">
        <v>2411</v>
      </c>
    </row>
    <row r="1047" spans="2:30" ht="84.95">
      <c r="B1047" s="21" t="s">
        <v>2720</v>
      </c>
      <c r="C1047" s="20"/>
      <c r="D1047" s="21" t="s">
        <v>2574</v>
      </c>
      <c r="E1047" s="20"/>
      <c r="F1047" s="23" t="s">
        <v>394</v>
      </c>
      <c r="H1047" s="21" t="s">
        <v>2406</v>
      </c>
      <c r="J1047" s="21" t="s">
        <v>411</v>
      </c>
      <c r="L1047" s="21" t="s">
        <v>737</v>
      </c>
      <c r="N1047" s="21" t="s">
        <v>236</v>
      </c>
      <c r="P1047" s="21" t="s">
        <v>2405</v>
      </c>
      <c r="R1047" s="21" t="s">
        <v>77</v>
      </c>
      <c r="S1047" s="20"/>
      <c r="T1047" s="76" t="s">
        <v>2416</v>
      </c>
      <c r="V1047" s="26" t="s">
        <v>79</v>
      </c>
      <c r="W1047" s="25"/>
      <c r="X1047" s="26" t="s">
        <v>80</v>
      </c>
      <c r="Y1047" s="60"/>
      <c r="Z1047" s="26" t="s">
        <v>80</v>
      </c>
      <c r="AA1047" s="25"/>
      <c r="AB1047" s="26" t="s">
        <v>80</v>
      </c>
      <c r="AD1047" s="23" t="s">
        <v>2411</v>
      </c>
    </row>
    <row r="1048" spans="2:30" ht="84.95">
      <c r="B1048" s="21" t="s">
        <v>2721</v>
      </c>
      <c r="C1048" s="20"/>
      <c r="D1048" s="21" t="s">
        <v>2574</v>
      </c>
      <c r="E1048" s="20"/>
      <c r="F1048" s="23" t="s">
        <v>394</v>
      </c>
      <c r="H1048" s="21" t="s">
        <v>2406</v>
      </c>
      <c r="J1048" s="21" t="s">
        <v>411</v>
      </c>
      <c r="L1048" s="21" t="s">
        <v>737</v>
      </c>
      <c r="N1048" s="21" t="s">
        <v>236</v>
      </c>
      <c r="P1048" s="21" t="s">
        <v>2405</v>
      </c>
      <c r="R1048" s="21" t="s">
        <v>77</v>
      </c>
      <c r="S1048" s="20"/>
      <c r="T1048" s="76" t="s">
        <v>2416</v>
      </c>
      <c r="V1048" s="26" t="s">
        <v>79</v>
      </c>
      <c r="W1048" s="25"/>
      <c r="X1048" s="26" t="s">
        <v>80</v>
      </c>
      <c r="Y1048" s="60"/>
      <c r="Z1048" s="26" t="s">
        <v>80</v>
      </c>
      <c r="AA1048" s="25"/>
      <c r="AB1048" s="26" t="s">
        <v>80</v>
      </c>
      <c r="AD1048" s="23" t="s">
        <v>2411</v>
      </c>
    </row>
    <row r="1049" spans="2:30" ht="84.95">
      <c r="B1049" s="21" t="s">
        <v>2722</v>
      </c>
      <c r="C1049" s="20"/>
      <c r="D1049" s="21" t="s">
        <v>2574</v>
      </c>
      <c r="E1049" s="20"/>
      <c r="F1049" s="23" t="s">
        <v>394</v>
      </c>
      <c r="H1049" s="21" t="s">
        <v>2406</v>
      </c>
      <c r="J1049" s="21" t="s">
        <v>411</v>
      </c>
      <c r="L1049" s="21" t="s">
        <v>737</v>
      </c>
      <c r="N1049" s="21" t="s">
        <v>236</v>
      </c>
      <c r="P1049" s="21" t="s">
        <v>2405</v>
      </c>
      <c r="R1049" s="21" t="s">
        <v>77</v>
      </c>
      <c r="S1049" s="20"/>
      <c r="T1049" s="76" t="s">
        <v>2416</v>
      </c>
      <c r="V1049" s="26" t="s">
        <v>79</v>
      </c>
      <c r="W1049" s="25"/>
      <c r="X1049" s="26" t="s">
        <v>80</v>
      </c>
      <c r="Y1049" s="60"/>
      <c r="Z1049" s="26" t="s">
        <v>80</v>
      </c>
      <c r="AA1049" s="25"/>
      <c r="AB1049" s="26" t="s">
        <v>80</v>
      </c>
      <c r="AD1049" s="23" t="s">
        <v>2411</v>
      </c>
    </row>
    <row r="1050" spans="2:30" ht="84.95">
      <c r="B1050" s="21" t="s">
        <v>2723</v>
      </c>
      <c r="C1050" s="20"/>
      <c r="D1050" s="21" t="s">
        <v>2574</v>
      </c>
      <c r="E1050" s="20"/>
      <c r="F1050" s="23" t="s">
        <v>394</v>
      </c>
      <c r="H1050" s="21" t="s">
        <v>2406</v>
      </c>
      <c r="J1050" s="21" t="s">
        <v>411</v>
      </c>
      <c r="L1050" s="21" t="s">
        <v>737</v>
      </c>
      <c r="N1050" s="21" t="s">
        <v>236</v>
      </c>
      <c r="P1050" s="21" t="s">
        <v>2405</v>
      </c>
      <c r="R1050" s="21" t="s">
        <v>77</v>
      </c>
      <c r="S1050" s="20"/>
      <c r="T1050" s="76" t="s">
        <v>2416</v>
      </c>
      <c r="U1050" s="77"/>
      <c r="V1050" s="26" t="s">
        <v>79</v>
      </c>
      <c r="W1050" s="25"/>
      <c r="X1050" s="26" t="s">
        <v>80</v>
      </c>
      <c r="Y1050" s="60"/>
      <c r="Z1050" s="26" t="s">
        <v>80</v>
      </c>
      <c r="AA1050" s="25"/>
      <c r="AB1050" s="26" t="s">
        <v>80</v>
      </c>
      <c r="AD1050" s="23" t="s">
        <v>2411</v>
      </c>
    </row>
    <row r="1051" spans="2:30" ht="84.95">
      <c r="B1051" s="21" t="s">
        <v>2724</v>
      </c>
      <c r="C1051" s="20"/>
      <c r="D1051" s="21" t="s">
        <v>2574</v>
      </c>
      <c r="E1051" s="20"/>
      <c r="F1051" s="23" t="s">
        <v>394</v>
      </c>
      <c r="H1051" s="21" t="s">
        <v>2406</v>
      </c>
      <c r="J1051" s="21" t="s">
        <v>411</v>
      </c>
      <c r="L1051" s="21" t="s">
        <v>737</v>
      </c>
      <c r="N1051" s="21" t="s">
        <v>236</v>
      </c>
      <c r="P1051" s="21" t="s">
        <v>2405</v>
      </c>
      <c r="R1051" s="21" t="s">
        <v>77</v>
      </c>
      <c r="S1051" s="20"/>
      <c r="T1051" s="76" t="s">
        <v>2416</v>
      </c>
      <c r="U1051" s="77"/>
      <c r="V1051" s="26" t="s">
        <v>79</v>
      </c>
      <c r="W1051" s="25"/>
      <c r="X1051" s="26" t="s">
        <v>80</v>
      </c>
      <c r="Y1051" s="60"/>
      <c r="Z1051" s="26" t="s">
        <v>80</v>
      </c>
      <c r="AA1051" s="25"/>
      <c r="AB1051" s="26" t="s">
        <v>80</v>
      </c>
      <c r="AD1051" s="23" t="s">
        <v>2411</v>
      </c>
    </row>
    <row r="1052" spans="2:30" ht="84.95">
      <c r="B1052" s="21" t="s">
        <v>2725</v>
      </c>
      <c r="C1052" s="20"/>
      <c r="D1052" s="21" t="s">
        <v>2574</v>
      </c>
      <c r="E1052" s="20"/>
      <c r="F1052" s="23" t="s">
        <v>394</v>
      </c>
      <c r="H1052" s="21" t="s">
        <v>2406</v>
      </c>
      <c r="J1052" s="21" t="s">
        <v>411</v>
      </c>
      <c r="L1052" s="21" t="s">
        <v>737</v>
      </c>
      <c r="N1052" s="21" t="s">
        <v>236</v>
      </c>
      <c r="P1052" s="21" t="s">
        <v>2405</v>
      </c>
      <c r="R1052" s="21" t="s">
        <v>77</v>
      </c>
      <c r="S1052" s="20"/>
      <c r="T1052" s="76" t="s">
        <v>2416</v>
      </c>
      <c r="U1052" s="77"/>
      <c r="V1052" s="26" t="s">
        <v>79</v>
      </c>
      <c r="W1052" s="25"/>
      <c r="X1052" s="26" t="s">
        <v>80</v>
      </c>
      <c r="Y1052" s="60"/>
      <c r="Z1052" s="26" t="s">
        <v>80</v>
      </c>
      <c r="AA1052" s="25"/>
      <c r="AB1052" s="26" t="s">
        <v>80</v>
      </c>
      <c r="AD1052" s="23" t="s">
        <v>2411</v>
      </c>
    </row>
    <row r="1053" spans="2:30" ht="84.95">
      <c r="B1053" s="21" t="s">
        <v>2726</v>
      </c>
      <c r="C1053" s="20"/>
      <c r="D1053" s="21" t="s">
        <v>2574</v>
      </c>
      <c r="E1053" s="20"/>
      <c r="F1053" s="23" t="s">
        <v>394</v>
      </c>
      <c r="H1053" s="21" t="s">
        <v>2406</v>
      </c>
      <c r="J1053" s="21" t="s">
        <v>411</v>
      </c>
      <c r="L1053" s="21" t="s">
        <v>737</v>
      </c>
      <c r="N1053" s="21" t="s">
        <v>236</v>
      </c>
      <c r="P1053" s="21" t="s">
        <v>2405</v>
      </c>
      <c r="R1053" s="21" t="s">
        <v>77</v>
      </c>
      <c r="S1053" s="20"/>
      <c r="T1053" s="76" t="s">
        <v>2416</v>
      </c>
      <c r="U1053" s="77"/>
      <c r="V1053" s="26" t="s">
        <v>79</v>
      </c>
      <c r="W1053" s="25"/>
      <c r="X1053" s="26" t="s">
        <v>80</v>
      </c>
      <c r="Y1053" s="60"/>
      <c r="Z1053" s="26" t="s">
        <v>80</v>
      </c>
      <c r="AA1053" s="25"/>
      <c r="AB1053" s="26" t="s">
        <v>80</v>
      </c>
      <c r="AD1053" s="23" t="s">
        <v>2411</v>
      </c>
    </row>
    <row r="1054" spans="2:30" ht="84.95">
      <c r="B1054" s="21" t="s">
        <v>2727</v>
      </c>
      <c r="C1054" s="20"/>
      <c r="D1054" s="21" t="s">
        <v>2574</v>
      </c>
      <c r="E1054" s="20"/>
      <c r="F1054" s="23" t="s">
        <v>394</v>
      </c>
      <c r="H1054" s="21" t="s">
        <v>2406</v>
      </c>
      <c r="J1054" s="21" t="s">
        <v>411</v>
      </c>
      <c r="L1054" s="21" t="s">
        <v>737</v>
      </c>
      <c r="N1054" s="21" t="s">
        <v>236</v>
      </c>
      <c r="P1054" s="21" t="s">
        <v>2405</v>
      </c>
      <c r="R1054" s="21" t="s">
        <v>77</v>
      </c>
      <c r="S1054" s="20"/>
      <c r="T1054" s="76" t="s">
        <v>2416</v>
      </c>
      <c r="U1054" s="77"/>
      <c r="V1054" s="26" t="s">
        <v>79</v>
      </c>
      <c r="W1054" s="25"/>
      <c r="X1054" s="26" t="s">
        <v>80</v>
      </c>
      <c r="Y1054" s="60"/>
      <c r="Z1054" s="26" t="s">
        <v>80</v>
      </c>
      <c r="AA1054" s="25"/>
      <c r="AB1054" s="26" t="s">
        <v>80</v>
      </c>
      <c r="AD1054" s="23" t="s">
        <v>2411</v>
      </c>
    </row>
    <row r="1055" spans="2:30" ht="84.95">
      <c r="B1055" s="21" t="s">
        <v>2728</v>
      </c>
      <c r="C1055" s="20"/>
      <c r="D1055" s="21" t="s">
        <v>2574</v>
      </c>
      <c r="E1055" s="20"/>
      <c r="F1055" s="23" t="s">
        <v>394</v>
      </c>
      <c r="H1055" s="21" t="s">
        <v>2406</v>
      </c>
      <c r="J1055" s="21" t="s">
        <v>411</v>
      </c>
      <c r="L1055" s="21" t="s">
        <v>737</v>
      </c>
      <c r="N1055" s="21" t="s">
        <v>236</v>
      </c>
      <c r="P1055" s="21" t="s">
        <v>2405</v>
      </c>
      <c r="R1055" s="21" t="s">
        <v>77</v>
      </c>
      <c r="S1055" s="20"/>
      <c r="T1055" s="76" t="s">
        <v>2416</v>
      </c>
      <c r="U1055" s="77"/>
      <c r="V1055" s="26" t="s">
        <v>79</v>
      </c>
      <c r="W1055" s="25"/>
      <c r="X1055" s="26" t="s">
        <v>80</v>
      </c>
      <c r="Y1055" s="60"/>
      <c r="Z1055" s="26" t="s">
        <v>80</v>
      </c>
      <c r="AA1055" s="25"/>
      <c r="AB1055" s="26" t="s">
        <v>80</v>
      </c>
      <c r="AD1055" s="23" t="s">
        <v>2411</v>
      </c>
    </row>
    <row r="1056" spans="2:30" ht="84.95">
      <c r="B1056" s="21" t="s">
        <v>2729</v>
      </c>
      <c r="C1056" s="20"/>
      <c r="D1056" s="21" t="s">
        <v>2574</v>
      </c>
      <c r="E1056" s="20"/>
      <c r="F1056" s="23" t="s">
        <v>394</v>
      </c>
      <c r="H1056" s="21" t="s">
        <v>2406</v>
      </c>
      <c r="J1056" s="21" t="s">
        <v>411</v>
      </c>
      <c r="L1056" s="21" t="s">
        <v>737</v>
      </c>
      <c r="N1056" s="21" t="s">
        <v>236</v>
      </c>
      <c r="P1056" s="21" t="s">
        <v>2405</v>
      </c>
      <c r="R1056" s="21" t="s">
        <v>77</v>
      </c>
      <c r="S1056" s="20"/>
      <c r="T1056" s="76" t="s">
        <v>2416</v>
      </c>
      <c r="U1056" s="77"/>
      <c r="V1056" s="26" t="s">
        <v>79</v>
      </c>
      <c r="W1056" s="25"/>
      <c r="X1056" s="26" t="s">
        <v>80</v>
      </c>
      <c r="Y1056" s="60"/>
      <c r="Z1056" s="26" t="s">
        <v>80</v>
      </c>
      <c r="AA1056" s="25"/>
      <c r="AB1056" s="26" t="s">
        <v>80</v>
      </c>
      <c r="AD1056" s="23" t="s">
        <v>2411</v>
      </c>
    </row>
    <row r="1057" spans="2:30" ht="84.95">
      <c r="B1057" s="21" t="s">
        <v>2730</v>
      </c>
      <c r="C1057" s="20"/>
      <c r="D1057" s="21" t="s">
        <v>2574</v>
      </c>
      <c r="E1057" s="20"/>
      <c r="F1057" s="23" t="s">
        <v>394</v>
      </c>
      <c r="H1057" s="21" t="s">
        <v>2406</v>
      </c>
      <c r="J1057" s="21" t="s">
        <v>411</v>
      </c>
      <c r="L1057" s="21" t="s">
        <v>737</v>
      </c>
      <c r="N1057" s="21" t="s">
        <v>236</v>
      </c>
      <c r="P1057" s="21" t="s">
        <v>2405</v>
      </c>
      <c r="R1057" s="21" t="s">
        <v>77</v>
      </c>
      <c r="S1057" s="20"/>
      <c r="T1057" s="76" t="s">
        <v>2416</v>
      </c>
      <c r="U1057" s="77"/>
      <c r="V1057" s="26" t="s">
        <v>79</v>
      </c>
      <c r="W1057" s="25"/>
      <c r="X1057" s="26" t="s">
        <v>80</v>
      </c>
      <c r="Y1057" s="60"/>
      <c r="Z1057" s="26" t="s">
        <v>80</v>
      </c>
      <c r="AA1057" s="25"/>
      <c r="AB1057" s="26" t="s">
        <v>80</v>
      </c>
      <c r="AD1057" s="23" t="s">
        <v>2411</v>
      </c>
    </row>
    <row r="1058" spans="2:30" ht="84.95">
      <c r="B1058" s="21" t="s">
        <v>2731</v>
      </c>
      <c r="C1058" s="20"/>
      <c r="D1058" s="21" t="s">
        <v>2574</v>
      </c>
      <c r="E1058" s="20"/>
      <c r="F1058" s="23" t="s">
        <v>394</v>
      </c>
      <c r="H1058" s="21" t="s">
        <v>2406</v>
      </c>
      <c r="J1058" s="21" t="s">
        <v>411</v>
      </c>
      <c r="L1058" s="21" t="s">
        <v>737</v>
      </c>
      <c r="N1058" s="21" t="s">
        <v>236</v>
      </c>
      <c r="P1058" s="21" t="s">
        <v>2405</v>
      </c>
      <c r="R1058" s="21" t="s">
        <v>77</v>
      </c>
      <c r="S1058" s="20"/>
      <c r="T1058" s="76" t="s">
        <v>2416</v>
      </c>
      <c r="U1058" s="77"/>
      <c r="V1058" s="26" t="s">
        <v>79</v>
      </c>
      <c r="W1058" s="25"/>
      <c r="X1058" s="26" t="s">
        <v>80</v>
      </c>
      <c r="Y1058" s="60"/>
      <c r="Z1058" s="26" t="s">
        <v>80</v>
      </c>
      <c r="AA1058" s="25"/>
      <c r="AB1058" s="26" t="s">
        <v>80</v>
      </c>
      <c r="AD1058" s="23" t="s">
        <v>2411</v>
      </c>
    </row>
    <row r="1059" spans="2:30" ht="84.95">
      <c r="B1059" s="21" t="s">
        <v>2732</v>
      </c>
      <c r="C1059" s="20"/>
      <c r="D1059" s="21" t="s">
        <v>2574</v>
      </c>
      <c r="E1059" s="20"/>
      <c r="F1059" s="23" t="s">
        <v>394</v>
      </c>
      <c r="H1059" s="21" t="s">
        <v>2406</v>
      </c>
      <c r="J1059" s="21" t="s">
        <v>411</v>
      </c>
      <c r="L1059" s="21" t="s">
        <v>737</v>
      </c>
      <c r="N1059" s="21" t="s">
        <v>236</v>
      </c>
      <c r="P1059" s="21" t="s">
        <v>2405</v>
      </c>
      <c r="R1059" s="21" t="s">
        <v>77</v>
      </c>
      <c r="S1059" s="20"/>
      <c r="T1059" s="76" t="s">
        <v>2416</v>
      </c>
      <c r="U1059" s="77"/>
      <c r="V1059" s="26" t="s">
        <v>79</v>
      </c>
      <c r="W1059" s="25"/>
      <c r="X1059" s="26" t="s">
        <v>80</v>
      </c>
      <c r="Y1059" s="60"/>
      <c r="Z1059" s="26" t="s">
        <v>80</v>
      </c>
      <c r="AA1059" s="25"/>
      <c r="AB1059" s="26" t="s">
        <v>80</v>
      </c>
      <c r="AD1059" s="23" t="s">
        <v>2411</v>
      </c>
    </row>
    <row r="1060" spans="2:30" ht="84.95">
      <c r="B1060" s="21" t="s">
        <v>2733</v>
      </c>
      <c r="C1060" s="20"/>
      <c r="D1060" s="21" t="s">
        <v>2574</v>
      </c>
      <c r="E1060" s="20"/>
      <c r="F1060" s="23" t="s">
        <v>394</v>
      </c>
      <c r="H1060" s="21" t="s">
        <v>2406</v>
      </c>
      <c r="J1060" s="21" t="s">
        <v>411</v>
      </c>
      <c r="L1060" s="21" t="s">
        <v>737</v>
      </c>
      <c r="N1060" s="21" t="s">
        <v>236</v>
      </c>
      <c r="P1060" s="21" t="s">
        <v>2405</v>
      </c>
      <c r="R1060" s="21" t="s">
        <v>77</v>
      </c>
      <c r="S1060" s="20"/>
      <c r="T1060" s="76" t="s">
        <v>2416</v>
      </c>
      <c r="U1060" s="77"/>
      <c r="V1060" s="26" t="s">
        <v>79</v>
      </c>
      <c r="W1060" s="25"/>
      <c r="X1060" s="26" t="s">
        <v>80</v>
      </c>
      <c r="Y1060" s="60"/>
      <c r="Z1060" s="26" t="s">
        <v>80</v>
      </c>
      <c r="AA1060" s="25"/>
      <c r="AB1060" s="26" t="s">
        <v>80</v>
      </c>
      <c r="AD1060" s="23" t="s">
        <v>2411</v>
      </c>
    </row>
    <row r="1061" spans="2:30" ht="84.95">
      <c r="B1061" s="21" t="s">
        <v>2734</v>
      </c>
      <c r="C1061" s="20"/>
      <c r="D1061" s="21" t="s">
        <v>2574</v>
      </c>
      <c r="E1061" s="20"/>
      <c r="F1061" s="23" t="s">
        <v>394</v>
      </c>
      <c r="H1061" s="21" t="s">
        <v>2406</v>
      </c>
      <c r="J1061" s="21" t="s">
        <v>411</v>
      </c>
      <c r="L1061" s="21" t="s">
        <v>737</v>
      </c>
      <c r="N1061" s="21" t="s">
        <v>236</v>
      </c>
      <c r="P1061" s="21" t="s">
        <v>2405</v>
      </c>
      <c r="R1061" s="21" t="s">
        <v>77</v>
      </c>
      <c r="S1061" s="20"/>
      <c r="T1061" s="76" t="s">
        <v>2416</v>
      </c>
      <c r="V1061" s="26" t="s">
        <v>79</v>
      </c>
      <c r="W1061" s="25"/>
      <c r="X1061" s="26" t="s">
        <v>80</v>
      </c>
      <c r="Y1061" s="60"/>
      <c r="Z1061" s="26" t="s">
        <v>80</v>
      </c>
      <c r="AA1061" s="25"/>
      <c r="AB1061" s="26" t="s">
        <v>80</v>
      </c>
      <c r="AD1061" s="23" t="s">
        <v>2411</v>
      </c>
    </row>
    <row r="1062" spans="2:30" ht="84.95">
      <c r="B1062" s="21" t="s">
        <v>2735</v>
      </c>
      <c r="C1062" s="20"/>
      <c r="D1062" s="21" t="s">
        <v>2574</v>
      </c>
      <c r="E1062" s="20"/>
      <c r="F1062" s="23" t="s">
        <v>394</v>
      </c>
      <c r="H1062" s="21" t="s">
        <v>2406</v>
      </c>
      <c r="J1062" s="21" t="s">
        <v>411</v>
      </c>
      <c r="L1062" s="21" t="s">
        <v>737</v>
      </c>
      <c r="N1062" s="21" t="s">
        <v>236</v>
      </c>
      <c r="P1062" s="21" t="s">
        <v>2405</v>
      </c>
      <c r="R1062" s="21" t="s">
        <v>77</v>
      </c>
      <c r="S1062" s="20"/>
      <c r="T1062" s="76" t="s">
        <v>2416</v>
      </c>
      <c r="U1062" s="77"/>
      <c r="V1062" s="26" t="s">
        <v>79</v>
      </c>
      <c r="W1062" s="25"/>
      <c r="X1062" s="26" t="s">
        <v>80</v>
      </c>
      <c r="Y1062" s="60"/>
      <c r="Z1062" s="26" t="s">
        <v>80</v>
      </c>
      <c r="AA1062" s="25"/>
      <c r="AB1062" s="26" t="s">
        <v>80</v>
      </c>
      <c r="AD1062" s="23" t="s">
        <v>2411</v>
      </c>
    </row>
    <row r="1063" spans="2:30" ht="84.95">
      <c r="B1063" s="21" t="s">
        <v>2736</v>
      </c>
      <c r="C1063" s="20"/>
      <c r="D1063" s="21" t="s">
        <v>2574</v>
      </c>
      <c r="E1063" s="20"/>
      <c r="F1063" s="23" t="s">
        <v>394</v>
      </c>
      <c r="H1063" s="21" t="s">
        <v>2406</v>
      </c>
      <c r="J1063" s="21" t="s">
        <v>411</v>
      </c>
      <c r="L1063" s="21" t="s">
        <v>737</v>
      </c>
      <c r="N1063" s="21" t="s">
        <v>236</v>
      </c>
      <c r="P1063" s="21" t="s">
        <v>2405</v>
      </c>
      <c r="R1063" s="21" t="s">
        <v>77</v>
      </c>
      <c r="S1063" s="20"/>
      <c r="T1063" s="76" t="s">
        <v>2416</v>
      </c>
      <c r="U1063" s="77"/>
      <c r="V1063" s="26" t="s">
        <v>79</v>
      </c>
      <c r="W1063" s="25"/>
      <c r="X1063" s="26" t="s">
        <v>80</v>
      </c>
      <c r="Y1063" s="60"/>
      <c r="Z1063" s="26" t="s">
        <v>80</v>
      </c>
      <c r="AA1063" s="25"/>
      <c r="AB1063" s="26" t="s">
        <v>80</v>
      </c>
      <c r="AD1063" s="23" t="s">
        <v>2411</v>
      </c>
    </row>
    <row r="1064" spans="2:30" ht="84.95">
      <c r="B1064" s="21" t="s">
        <v>2737</v>
      </c>
      <c r="C1064" s="20"/>
      <c r="D1064" s="21" t="s">
        <v>2574</v>
      </c>
      <c r="E1064" s="20"/>
      <c r="F1064" s="23" t="s">
        <v>394</v>
      </c>
      <c r="H1064" s="21" t="s">
        <v>2406</v>
      </c>
      <c r="J1064" s="21" t="s">
        <v>411</v>
      </c>
      <c r="L1064" s="21" t="s">
        <v>737</v>
      </c>
      <c r="N1064" s="21" t="s">
        <v>236</v>
      </c>
      <c r="P1064" s="21" t="s">
        <v>2405</v>
      </c>
      <c r="R1064" s="21" t="s">
        <v>77</v>
      </c>
      <c r="S1064" s="20"/>
      <c r="T1064" s="76" t="s">
        <v>2416</v>
      </c>
      <c r="V1064" s="26" t="s">
        <v>79</v>
      </c>
      <c r="W1064" s="25"/>
      <c r="X1064" s="26" t="s">
        <v>80</v>
      </c>
      <c r="Y1064" s="60"/>
      <c r="Z1064" s="26" t="s">
        <v>80</v>
      </c>
      <c r="AA1064" s="25"/>
      <c r="AB1064" s="26" t="s">
        <v>80</v>
      </c>
      <c r="AD1064" s="23" t="s">
        <v>2411</v>
      </c>
    </row>
    <row r="1065" spans="2:30" ht="84.95">
      <c r="B1065" s="21" t="s">
        <v>2738</v>
      </c>
      <c r="C1065" s="20"/>
      <c r="D1065" s="21" t="s">
        <v>2574</v>
      </c>
      <c r="E1065" s="20"/>
      <c r="F1065" s="23" t="s">
        <v>394</v>
      </c>
      <c r="H1065" s="21" t="s">
        <v>2406</v>
      </c>
      <c r="J1065" s="21" t="s">
        <v>411</v>
      </c>
      <c r="L1065" s="21" t="s">
        <v>737</v>
      </c>
      <c r="N1065" s="21" t="s">
        <v>236</v>
      </c>
      <c r="P1065" s="21" t="s">
        <v>2405</v>
      </c>
      <c r="R1065" s="21" t="s">
        <v>77</v>
      </c>
      <c r="S1065" s="20"/>
      <c r="T1065" s="76" t="s">
        <v>2416</v>
      </c>
      <c r="V1065" s="26" t="s">
        <v>79</v>
      </c>
      <c r="W1065" s="25"/>
      <c r="X1065" s="26" t="s">
        <v>80</v>
      </c>
      <c r="Y1065" s="60"/>
      <c r="Z1065" s="26" t="s">
        <v>80</v>
      </c>
      <c r="AA1065" s="25"/>
      <c r="AB1065" s="26" t="s">
        <v>80</v>
      </c>
      <c r="AD1065" s="23" t="s">
        <v>2411</v>
      </c>
    </row>
    <row r="1066" spans="2:30" ht="84.95">
      <c r="B1066" s="21" t="s">
        <v>2739</v>
      </c>
      <c r="C1066" s="20"/>
      <c r="D1066" s="21" t="s">
        <v>2574</v>
      </c>
      <c r="E1066" s="20"/>
      <c r="F1066" s="23" t="s">
        <v>394</v>
      </c>
      <c r="H1066" s="21" t="s">
        <v>2406</v>
      </c>
      <c r="J1066" s="21" t="s">
        <v>411</v>
      </c>
      <c r="L1066" s="21" t="s">
        <v>737</v>
      </c>
      <c r="N1066" s="21" t="s">
        <v>236</v>
      </c>
      <c r="P1066" s="21" t="s">
        <v>2405</v>
      </c>
      <c r="R1066" s="21" t="s">
        <v>77</v>
      </c>
      <c r="S1066" s="20"/>
      <c r="T1066" s="76" t="s">
        <v>2416</v>
      </c>
      <c r="V1066" s="26" t="s">
        <v>79</v>
      </c>
      <c r="W1066" s="25"/>
      <c r="X1066" s="26" t="s">
        <v>80</v>
      </c>
      <c r="Y1066" s="60"/>
      <c r="Z1066" s="26" t="s">
        <v>80</v>
      </c>
      <c r="AA1066" s="25"/>
      <c r="AB1066" s="26" t="s">
        <v>80</v>
      </c>
      <c r="AD1066" s="23" t="s">
        <v>2411</v>
      </c>
    </row>
    <row r="1067" spans="2:30" ht="84.95">
      <c r="B1067" s="21" t="s">
        <v>2740</v>
      </c>
      <c r="C1067" s="20"/>
      <c r="D1067" s="21" t="s">
        <v>2574</v>
      </c>
      <c r="E1067" s="20"/>
      <c r="F1067" s="23" t="s">
        <v>394</v>
      </c>
      <c r="H1067" s="21" t="s">
        <v>2406</v>
      </c>
      <c r="J1067" s="21" t="s">
        <v>411</v>
      </c>
      <c r="L1067" s="21" t="s">
        <v>737</v>
      </c>
      <c r="N1067" s="21" t="s">
        <v>236</v>
      </c>
      <c r="P1067" s="21" t="s">
        <v>2405</v>
      </c>
      <c r="R1067" s="21" t="s">
        <v>77</v>
      </c>
      <c r="S1067" s="20"/>
      <c r="T1067" s="76" t="s">
        <v>2416</v>
      </c>
      <c r="U1067" s="77"/>
      <c r="V1067" s="26" t="s">
        <v>79</v>
      </c>
      <c r="W1067" s="25"/>
      <c r="X1067" s="26" t="s">
        <v>80</v>
      </c>
      <c r="Y1067" s="60"/>
      <c r="Z1067" s="26" t="s">
        <v>80</v>
      </c>
      <c r="AA1067" s="25"/>
      <c r="AB1067" s="26" t="s">
        <v>80</v>
      </c>
      <c r="AD1067" s="23" t="s">
        <v>2411</v>
      </c>
    </row>
    <row r="1068" spans="2:30" ht="84.95">
      <c r="B1068" s="21" t="s">
        <v>2741</v>
      </c>
      <c r="C1068" s="20"/>
      <c r="D1068" s="21" t="s">
        <v>2574</v>
      </c>
      <c r="E1068" s="20"/>
      <c r="F1068" s="23" t="s">
        <v>394</v>
      </c>
      <c r="H1068" s="21" t="s">
        <v>2406</v>
      </c>
      <c r="J1068" s="21" t="s">
        <v>411</v>
      </c>
      <c r="L1068" s="21" t="s">
        <v>737</v>
      </c>
      <c r="N1068" s="21" t="s">
        <v>236</v>
      </c>
      <c r="P1068" s="21" t="s">
        <v>2405</v>
      </c>
      <c r="R1068" s="21" t="s">
        <v>77</v>
      </c>
      <c r="S1068" s="20"/>
      <c r="T1068" s="76" t="s">
        <v>2416</v>
      </c>
      <c r="U1068" s="77"/>
      <c r="V1068" s="26" t="s">
        <v>79</v>
      </c>
      <c r="W1068" s="25"/>
      <c r="X1068" s="26" t="s">
        <v>80</v>
      </c>
      <c r="Y1068" s="60"/>
      <c r="Z1068" s="26" t="s">
        <v>80</v>
      </c>
      <c r="AA1068" s="25"/>
      <c r="AB1068" s="26" t="s">
        <v>80</v>
      </c>
      <c r="AD1068" s="23" t="s">
        <v>2411</v>
      </c>
    </row>
    <row r="1069" spans="2:30" ht="84.95">
      <c r="B1069" s="21" t="s">
        <v>2742</v>
      </c>
      <c r="C1069" s="20"/>
      <c r="D1069" s="21" t="s">
        <v>2574</v>
      </c>
      <c r="E1069" s="20"/>
      <c r="F1069" s="23" t="s">
        <v>394</v>
      </c>
      <c r="H1069" s="21" t="s">
        <v>2406</v>
      </c>
      <c r="J1069" s="21" t="s">
        <v>411</v>
      </c>
      <c r="L1069" s="21" t="s">
        <v>737</v>
      </c>
      <c r="N1069" s="21" t="s">
        <v>236</v>
      </c>
      <c r="P1069" s="21" t="s">
        <v>2405</v>
      </c>
      <c r="R1069" s="21" t="s">
        <v>77</v>
      </c>
      <c r="S1069" s="20"/>
      <c r="T1069" s="76" t="s">
        <v>2416</v>
      </c>
      <c r="U1069" s="77"/>
      <c r="V1069" s="26" t="s">
        <v>79</v>
      </c>
      <c r="W1069" s="25"/>
      <c r="X1069" s="26" t="s">
        <v>80</v>
      </c>
      <c r="Y1069" s="60"/>
      <c r="Z1069" s="26" t="s">
        <v>80</v>
      </c>
      <c r="AA1069" s="25"/>
      <c r="AB1069" s="26" t="s">
        <v>80</v>
      </c>
      <c r="AD1069" s="23" t="s">
        <v>2411</v>
      </c>
    </row>
    <row r="1070" spans="2:30" ht="84.95">
      <c r="B1070" s="21" t="s">
        <v>2743</v>
      </c>
      <c r="C1070" s="20"/>
      <c r="D1070" s="21" t="s">
        <v>2574</v>
      </c>
      <c r="E1070" s="20"/>
      <c r="F1070" s="23" t="s">
        <v>394</v>
      </c>
      <c r="H1070" s="21" t="s">
        <v>2406</v>
      </c>
      <c r="J1070" s="21" t="s">
        <v>411</v>
      </c>
      <c r="L1070" s="21" t="s">
        <v>737</v>
      </c>
      <c r="N1070" s="21" t="s">
        <v>236</v>
      </c>
      <c r="P1070" s="21" t="s">
        <v>2405</v>
      </c>
      <c r="R1070" s="21" t="s">
        <v>77</v>
      </c>
      <c r="S1070" s="20"/>
      <c r="T1070" s="76" t="s">
        <v>2416</v>
      </c>
      <c r="V1070" s="26" t="s">
        <v>79</v>
      </c>
      <c r="W1070" s="25"/>
      <c r="X1070" s="26" t="s">
        <v>80</v>
      </c>
      <c r="Y1070" s="60"/>
      <c r="Z1070" s="26" t="s">
        <v>80</v>
      </c>
      <c r="AA1070" s="25"/>
      <c r="AB1070" s="26" t="s">
        <v>80</v>
      </c>
      <c r="AD1070" s="23" t="s">
        <v>2411</v>
      </c>
    </row>
    <row r="1071" spans="2:30" ht="84.95">
      <c r="B1071" s="21" t="s">
        <v>2744</v>
      </c>
      <c r="C1071" s="20"/>
      <c r="D1071" s="21" t="s">
        <v>2574</v>
      </c>
      <c r="E1071" s="20"/>
      <c r="F1071" s="23" t="s">
        <v>394</v>
      </c>
      <c r="H1071" s="21" t="s">
        <v>2406</v>
      </c>
      <c r="J1071" s="21" t="s">
        <v>411</v>
      </c>
      <c r="L1071" s="21" t="s">
        <v>737</v>
      </c>
      <c r="N1071" s="21" t="s">
        <v>236</v>
      </c>
      <c r="P1071" s="21" t="s">
        <v>2405</v>
      </c>
      <c r="R1071" s="21" t="s">
        <v>77</v>
      </c>
      <c r="S1071" s="20"/>
      <c r="T1071" s="76" t="s">
        <v>2416</v>
      </c>
      <c r="V1071" s="26" t="s">
        <v>79</v>
      </c>
      <c r="W1071" s="25"/>
      <c r="X1071" s="26" t="s">
        <v>80</v>
      </c>
      <c r="Y1071" s="60"/>
      <c r="Z1071" s="26" t="s">
        <v>80</v>
      </c>
      <c r="AA1071" s="25"/>
      <c r="AB1071" s="26" t="s">
        <v>80</v>
      </c>
      <c r="AD1071" s="23" t="s">
        <v>2411</v>
      </c>
    </row>
    <row r="1072" spans="2:30" ht="84.95">
      <c r="B1072" s="21" t="s">
        <v>2745</v>
      </c>
      <c r="C1072" s="20"/>
      <c r="D1072" s="21" t="s">
        <v>2574</v>
      </c>
      <c r="E1072" s="20"/>
      <c r="F1072" s="23" t="s">
        <v>394</v>
      </c>
      <c r="H1072" s="21" t="s">
        <v>2406</v>
      </c>
      <c r="J1072" s="21" t="s">
        <v>411</v>
      </c>
      <c r="L1072" s="21" t="s">
        <v>737</v>
      </c>
      <c r="N1072" s="21" t="s">
        <v>236</v>
      </c>
      <c r="P1072" s="21" t="s">
        <v>2405</v>
      </c>
      <c r="R1072" s="21" t="s">
        <v>77</v>
      </c>
      <c r="S1072" s="20"/>
      <c r="T1072" s="76" t="s">
        <v>2416</v>
      </c>
      <c r="V1072" s="26" t="s">
        <v>79</v>
      </c>
      <c r="W1072" s="25"/>
      <c r="X1072" s="26" t="s">
        <v>80</v>
      </c>
      <c r="Y1072" s="60"/>
      <c r="Z1072" s="26" t="s">
        <v>80</v>
      </c>
      <c r="AA1072" s="25"/>
      <c r="AB1072" s="26" t="s">
        <v>80</v>
      </c>
      <c r="AD1072" s="23" t="s">
        <v>2411</v>
      </c>
    </row>
    <row r="1073" spans="2:30" ht="84.95">
      <c r="B1073" s="21" t="s">
        <v>2746</v>
      </c>
      <c r="C1073" s="20"/>
      <c r="D1073" s="21" t="s">
        <v>2574</v>
      </c>
      <c r="E1073" s="20"/>
      <c r="F1073" s="23" t="s">
        <v>394</v>
      </c>
      <c r="H1073" s="21" t="s">
        <v>2406</v>
      </c>
      <c r="J1073" s="21" t="s">
        <v>411</v>
      </c>
      <c r="L1073" s="21" t="s">
        <v>737</v>
      </c>
      <c r="N1073" s="21" t="s">
        <v>236</v>
      </c>
      <c r="P1073" s="21" t="s">
        <v>2405</v>
      </c>
      <c r="R1073" s="21" t="s">
        <v>77</v>
      </c>
      <c r="S1073" s="20"/>
      <c r="T1073" s="76" t="s">
        <v>2416</v>
      </c>
      <c r="V1073" s="26" t="s">
        <v>79</v>
      </c>
      <c r="W1073" s="25"/>
      <c r="X1073" s="26" t="s">
        <v>80</v>
      </c>
      <c r="Y1073" s="60"/>
      <c r="Z1073" s="26" t="s">
        <v>80</v>
      </c>
      <c r="AA1073" s="25"/>
      <c r="AB1073" s="26" t="s">
        <v>80</v>
      </c>
      <c r="AD1073" s="23" t="s">
        <v>2411</v>
      </c>
    </row>
    <row r="1074" spans="2:30" ht="84.95">
      <c r="B1074" s="21" t="s">
        <v>2747</v>
      </c>
      <c r="C1074" s="20"/>
      <c r="D1074" s="21" t="s">
        <v>2574</v>
      </c>
      <c r="E1074" s="20"/>
      <c r="F1074" s="23" t="s">
        <v>394</v>
      </c>
      <c r="H1074" s="21" t="s">
        <v>2406</v>
      </c>
      <c r="J1074" s="21" t="s">
        <v>411</v>
      </c>
      <c r="L1074" s="21" t="s">
        <v>737</v>
      </c>
      <c r="N1074" s="21" t="s">
        <v>236</v>
      </c>
      <c r="P1074" s="21" t="s">
        <v>2405</v>
      </c>
      <c r="R1074" s="21" t="s">
        <v>77</v>
      </c>
      <c r="S1074" s="20"/>
      <c r="T1074" s="76" t="s">
        <v>2416</v>
      </c>
      <c r="U1074" s="77"/>
      <c r="V1074" s="26" t="s">
        <v>79</v>
      </c>
      <c r="W1074" s="25"/>
      <c r="X1074" s="26" t="s">
        <v>80</v>
      </c>
      <c r="Y1074" s="60"/>
      <c r="Z1074" s="26" t="s">
        <v>80</v>
      </c>
      <c r="AA1074" s="25"/>
      <c r="AB1074" s="26" t="s">
        <v>80</v>
      </c>
      <c r="AD1074" s="23" t="s">
        <v>2411</v>
      </c>
    </row>
    <row r="1075" spans="2:30" ht="84.95">
      <c r="B1075" s="21" t="s">
        <v>2748</v>
      </c>
      <c r="C1075" s="20"/>
      <c r="D1075" s="21" t="s">
        <v>2574</v>
      </c>
      <c r="E1075" s="20"/>
      <c r="F1075" s="23" t="s">
        <v>394</v>
      </c>
      <c r="H1075" s="21" t="s">
        <v>2406</v>
      </c>
      <c r="J1075" s="21" t="s">
        <v>411</v>
      </c>
      <c r="L1075" s="21" t="s">
        <v>737</v>
      </c>
      <c r="N1075" s="21" t="s">
        <v>236</v>
      </c>
      <c r="P1075" s="21" t="s">
        <v>2405</v>
      </c>
      <c r="R1075" s="21" t="s">
        <v>77</v>
      </c>
      <c r="S1075" s="20"/>
      <c r="T1075" s="76" t="s">
        <v>2416</v>
      </c>
      <c r="U1075" s="77"/>
      <c r="V1075" s="26" t="s">
        <v>79</v>
      </c>
      <c r="W1075" s="25"/>
      <c r="X1075" s="26" t="s">
        <v>80</v>
      </c>
      <c r="Y1075" s="60"/>
      <c r="Z1075" s="26" t="s">
        <v>80</v>
      </c>
      <c r="AA1075" s="25"/>
      <c r="AB1075" s="26" t="s">
        <v>80</v>
      </c>
      <c r="AD1075" s="23" t="s">
        <v>2411</v>
      </c>
    </row>
    <row r="1076" spans="2:30" ht="84.95">
      <c r="B1076" s="21" t="s">
        <v>2749</v>
      </c>
      <c r="C1076" s="20"/>
      <c r="D1076" s="21" t="s">
        <v>2574</v>
      </c>
      <c r="E1076" s="20"/>
      <c r="F1076" s="23" t="s">
        <v>394</v>
      </c>
      <c r="H1076" s="21" t="s">
        <v>2406</v>
      </c>
      <c r="J1076" s="21" t="s">
        <v>411</v>
      </c>
      <c r="L1076" s="21" t="s">
        <v>737</v>
      </c>
      <c r="N1076" s="21" t="s">
        <v>236</v>
      </c>
      <c r="P1076" s="21" t="s">
        <v>2405</v>
      </c>
      <c r="R1076" s="21" t="s">
        <v>77</v>
      </c>
      <c r="S1076" s="20"/>
      <c r="T1076" s="76" t="s">
        <v>2416</v>
      </c>
      <c r="U1076" s="77"/>
      <c r="V1076" s="26" t="s">
        <v>79</v>
      </c>
      <c r="W1076" s="25"/>
      <c r="X1076" s="26" t="s">
        <v>80</v>
      </c>
      <c r="Y1076" s="60"/>
      <c r="Z1076" s="26" t="s">
        <v>80</v>
      </c>
      <c r="AA1076" s="25"/>
      <c r="AB1076" s="26" t="s">
        <v>80</v>
      </c>
      <c r="AD1076" s="23" t="s">
        <v>2411</v>
      </c>
    </row>
    <row r="1077" spans="2:30" ht="84.95">
      <c r="B1077" s="21" t="s">
        <v>2750</v>
      </c>
      <c r="C1077" s="20"/>
      <c r="D1077" s="21" t="s">
        <v>2574</v>
      </c>
      <c r="E1077" s="20"/>
      <c r="F1077" s="23" t="s">
        <v>394</v>
      </c>
      <c r="H1077" s="21" t="s">
        <v>2406</v>
      </c>
      <c r="J1077" s="21" t="s">
        <v>411</v>
      </c>
      <c r="L1077" s="21" t="s">
        <v>737</v>
      </c>
      <c r="N1077" s="21" t="s">
        <v>236</v>
      </c>
      <c r="P1077" s="21" t="s">
        <v>2405</v>
      </c>
      <c r="R1077" s="21" t="s">
        <v>77</v>
      </c>
      <c r="S1077" s="20"/>
      <c r="T1077" s="76" t="s">
        <v>2416</v>
      </c>
      <c r="V1077" s="26" t="s">
        <v>79</v>
      </c>
      <c r="W1077" s="25"/>
      <c r="X1077" s="26" t="s">
        <v>80</v>
      </c>
      <c r="Y1077" s="60"/>
      <c r="Z1077" s="26" t="s">
        <v>80</v>
      </c>
      <c r="AA1077" s="25"/>
      <c r="AB1077" s="26" t="s">
        <v>80</v>
      </c>
      <c r="AD1077" s="23" t="s">
        <v>2411</v>
      </c>
    </row>
    <row r="1078" spans="2:30" ht="84.95">
      <c r="B1078" s="21" t="s">
        <v>2751</v>
      </c>
      <c r="C1078" s="20"/>
      <c r="D1078" s="21" t="s">
        <v>2574</v>
      </c>
      <c r="E1078" s="20"/>
      <c r="F1078" s="23" t="s">
        <v>394</v>
      </c>
      <c r="H1078" s="21" t="s">
        <v>2406</v>
      </c>
      <c r="J1078" s="21" t="s">
        <v>411</v>
      </c>
      <c r="L1078" s="21" t="s">
        <v>737</v>
      </c>
      <c r="N1078" s="21" t="s">
        <v>236</v>
      </c>
      <c r="P1078" s="21" t="s">
        <v>2405</v>
      </c>
      <c r="R1078" s="21" t="s">
        <v>77</v>
      </c>
      <c r="S1078" s="20"/>
      <c r="T1078" s="76" t="s">
        <v>2416</v>
      </c>
      <c r="V1078" s="26" t="s">
        <v>79</v>
      </c>
      <c r="W1078" s="25"/>
      <c r="X1078" s="26" t="s">
        <v>80</v>
      </c>
      <c r="Y1078" s="60"/>
      <c r="Z1078" s="26" t="s">
        <v>80</v>
      </c>
      <c r="AA1078" s="25"/>
      <c r="AB1078" s="26" t="s">
        <v>80</v>
      </c>
      <c r="AD1078" s="23" t="s">
        <v>2411</v>
      </c>
    </row>
    <row r="1079" spans="2:30" ht="84.95">
      <c r="B1079" s="21" t="s">
        <v>2752</v>
      </c>
      <c r="C1079" s="20"/>
      <c r="D1079" s="21" t="s">
        <v>2574</v>
      </c>
      <c r="E1079" s="20"/>
      <c r="F1079" s="23" t="s">
        <v>394</v>
      </c>
      <c r="H1079" s="21" t="s">
        <v>2406</v>
      </c>
      <c r="J1079" s="21" t="s">
        <v>411</v>
      </c>
      <c r="L1079" s="21" t="s">
        <v>737</v>
      </c>
      <c r="N1079" s="21" t="s">
        <v>236</v>
      </c>
      <c r="P1079" s="21" t="s">
        <v>2405</v>
      </c>
      <c r="R1079" s="21" t="s">
        <v>77</v>
      </c>
      <c r="S1079" s="20"/>
      <c r="T1079" s="76" t="s">
        <v>2416</v>
      </c>
      <c r="U1079" s="77"/>
      <c r="V1079" s="26" t="s">
        <v>79</v>
      </c>
      <c r="W1079" s="25"/>
      <c r="X1079" s="26" t="s">
        <v>80</v>
      </c>
      <c r="Y1079" s="60"/>
      <c r="Z1079" s="26" t="s">
        <v>80</v>
      </c>
      <c r="AA1079" s="25"/>
      <c r="AB1079" s="26" t="s">
        <v>80</v>
      </c>
      <c r="AD1079" s="23" t="s">
        <v>2411</v>
      </c>
    </row>
    <row r="1080" spans="2:30" ht="84.95">
      <c r="B1080" s="21" t="s">
        <v>2753</v>
      </c>
      <c r="C1080" s="20"/>
      <c r="D1080" s="21" t="s">
        <v>2574</v>
      </c>
      <c r="E1080" s="20"/>
      <c r="F1080" s="23" t="s">
        <v>394</v>
      </c>
      <c r="H1080" s="21" t="s">
        <v>2406</v>
      </c>
      <c r="J1080" s="21" t="s">
        <v>411</v>
      </c>
      <c r="L1080" s="21" t="s">
        <v>737</v>
      </c>
      <c r="N1080" s="21" t="s">
        <v>236</v>
      </c>
      <c r="P1080" s="21" t="s">
        <v>2405</v>
      </c>
      <c r="R1080" s="21" t="s">
        <v>77</v>
      </c>
      <c r="S1080" s="20"/>
      <c r="T1080" s="76" t="s">
        <v>2416</v>
      </c>
      <c r="V1080" s="26" t="s">
        <v>79</v>
      </c>
      <c r="W1080" s="25"/>
      <c r="X1080" s="26" t="s">
        <v>80</v>
      </c>
      <c r="Y1080" s="60"/>
      <c r="Z1080" s="26" t="s">
        <v>80</v>
      </c>
      <c r="AA1080" s="25"/>
      <c r="AB1080" s="26" t="s">
        <v>80</v>
      </c>
      <c r="AD1080" s="23" t="s">
        <v>2411</v>
      </c>
    </row>
    <row r="1081" spans="2:30" ht="84.95">
      <c r="B1081" s="21" t="s">
        <v>2754</v>
      </c>
      <c r="C1081" s="20"/>
      <c r="D1081" s="21" t="s">
        <v>2574</v>
      </c>
      <c r="E1081" s="20"/>
      <c r="F1081" s="23" t="s">
        <v>394</v>
      </c>
      <c r="H1081" s="21" t="s">
        <v>2406</v>
      </c>
      <c r="J1081" s="21" t="s">
        <v>411</v>
      </c>
      <c r="L1081" s="21" t="s">
        <v>737</v>
      </c>
      <c r="N1081" s="21" t="s">
        <v>236</v>
      </c>
      <c r="P1081" s="21" t="s">
        <v>2405</v>
      </c>
      <c r="R1081" s="21" t="s">
        <v>77</v>
      </c>
      <c r="S1081" s="20"/>
      <c r="T1081" s="76" t="s">
        <v>2416</v>
      </c>
      <c r="V1081" s="26" t="s">
        <v>79</v>
      </c>
      <c r="W1081" s="25"/>
      <c r="X1081" s="26" t="s">
        <v>80</v>
      </c>
      <c r="Y1081" s="60"/>
      <c r="Z1081" s="26" t="s">
        <v>80</v>
      </c>
      <c r="AA1081" s="25"/>
      <c r="AB1081" s="26" t="s">
        <v>80</v>
      </c>
      <c r="AD1081" s="23" t="s">
        <v>2411</v>
      </c>
    </row>
    <row r="1082" spans="2:30" ht="84.95">
      <c r="B1082" s="21" t="s">
        <v>2755</v>
      </c>
      <c r="C1082" s="20"/>
      <c r="D1082" s="21" t="s">
        <v>2574</v>
      </c>
      <c r="E1082" s="20"/>
      <c r="F1082" s="23" t="s">
        <v>394</v>
      </c>
      <c r="H1082" s="21" t="s">
        <v>2406</v>
      </c>
      <c r="J1082" s="21" t="s">
        <v>411</v>
      </c>
      <c r="L1082" s="21" t="s">
        <v>737</v>
      </c>
      <c r="N1082" s="21" t="s">
        <v>236</v>
      </c>
      <c r="P1082" s="21" t="s">
        <v>2405</v>
      </c>
      <c r="R1082" s="21" t="s">
        <v>77</v>
      </c>
      <c r="S1082" s="20"/>
      <c r="T1082" s="76" t="s">
        <v>2416</v>
      </c>
      <c r="V1082" s="26" t="s">
        <v>79</v>
      </c>
      <c r="W1082" s="25"/>
      <c r="X1082" s="26" t="s">
        <v>80</v>
      </c>
      <c r="Y1082" s="60"/>
      <c r="Z1082" s="26" t="s">
        <v>80</v>
      </c>
      <c r="AA1082" s="25"/>
      <c r="AB1082" s="26" t="s">
        <v>80</v>
      </c>
      <c r="AD1082" s="23" t="s">
        <v>2411</v>
      </c>
    </row>
    <row r="1083" spans="2:30" ht="84.95">
      <c r="B1083" s="21" t="s">
        <v>2756</v>
      </c>
      <c r="C1083" s="20"/>
      <c r="D1083" s="21" t="s">
        <v>2574</v>
      </c>
      <c r="E1083" s="20"/>
      <c r="F1083" s="23" t="s">
        <v>394</v>
      </c>
      <c r="H1083" s="21" t="s">
        <v>2406</v>
      </c>
      <c r="J1083" s="21" t="s">
        <v>411</v>
      </c>
      <c r="L1083" s="21" t="s">
        <v>737</v>
      </c>
      <c r="N1083" s="21" t="s">
        <v>236</v>
      </c>
      <c r="P1083" s="21" t="s">
        <v>2405</v>
      </c>
      <c r="R1083" s="21" t="s">
        <v>77</v>
      </c>
      <c r="S1083" s="20"/>
      <c r="T1083" s="76" t="s">
        <v>2416</v>
      </c>
      <c r="U1083" s="77"/>
      <c r="V1083" s="26" t="s">
        <v>79</v>
      </c>
      <c r="W1083" s="25"/>
      <c r="X1083" s="26" t="s">
        <v>80</v>
      </c>
      <c r="Y1083" s="60"/>
      <c r="Z1083" s="26" t="s">
        <v>80</v>
      </c>
      <c r="AA1083" s="25"/>
      <c r="AB1083" s="26" t="s">
        <v>80</v>
      </c>
      <c r="AD1083" s="23" t="s">
        <v>2411</v>
      </c>
    </row>
    <row r="1084" spans="2:30" ht="84.95">
      <c r="B1084" s="21" t="s">
        <v>2757</v>
      </c>
      <c r="C1084" s="20"/>
      <c r="D1084" s="21" t="s">
        <v>2574</v>
      </c>
      <c r="E1084" s="20"/>
      <c r="F1084" s="23" t="s">
        <v>394</v>
      </c>
      <c r="H1084" s="21" t="s">
        <v>2406</v>
      </c>
      <c r="J1084" s="21" t="s">
        <v>411</v>
      </c>
      <c r="L1084" s="21" t="s">
        <v>737</v>
      </c>
      <c r="N1084" s="21" t="s">
        <v>236</v>
      </c>
      <c r="P1084" s="21" t="s">
        <v>2405</v>
      </c>
      <c r="R1084" s="21" t="s">
        <v>77</v>
      </c>
      <c r="S1084" s="20"/>
      <c r="T1084" s="76" t="s">
        <v>2416</v>
      </c>
      <c r="U1084" s="77"/>
      <c r="V1084" s="26" t="s">
        <v>79</v>
      </c>
      <c r="W1084" s="25"/>
      <c r="X1084" s="26" t="s">
        <v>80</v>
      </c>
      <c r="Y1084" s="60"/>
      <c r="Z1084" s="26" t="s">
        <v>80</v>
      </c>
      <c r="AA1084" s="25"/>
      <c r="AB1084" s="26" t="s">
        <v>80</v>
      </c>
      <c r="AD1084" s="23" t="s">
        <v>2411</v>
      </c>
    </row>
    <row r="1085" spans="2:30" ht="84.95">
      <c r="B1085" s="21" t="s">
        <v>2758</v>
      </c>
      <c r="C1085" s="20"/>
      <c r="D1085" s="21" t="s">
        <v>2574</v>
      </c>
      <c r="E1085" s="20"/>
      <c r="F1085" s="23" t="s">
        <v>394</v>
      </c>
      <c r="H1085" s="21" t="s">
        <v>2406</v>
      </c>
      <c r="J1085" s="21" t="s">
        <v>411</v>
      </c>
      <c r="L1085" s="21" t="s">
        <v>737</v>
      </c>
      <c r="N1085" s="21" t="s">
        <v>236</v>
      </c>
      <c r="P1085" s="21" t="s">
        <v>2405</v>
      </c>
      <c r="R1085" s="21" t="s">
        <v>77</v>
      </c>
      <c r="S1085" s="20"/>
      <c r="T1085" s="76" t="s">
        <v>2416</v>
      </c>
      <c r="U1085" s="77"/>
      <c r="V1085" s="26" t="s">
        <v>79</v>
      </c>
      <c r="W1085" s="25"/>
      <c r="X1085" s="26" t="s">
        <v>80</v>
      </c>
      <c r="Y1085" s="60"/>
      <c r="Z1085" s="26" t="s">
        <v>80</v>
      </c>
      <c r="AA1085" s="25"/>
      <c r="AB1085" s="26" t="s">
        <v>80</v>
      </c>
      <c r="AD1085" s="23" t="s">
        <v>2411</v>
      </c>
    </row>
    <row r="1086" spans="2:30" ht="84.95">
      <c r="B1086" s="21" t="s">
        <v>2759</v>
      </c>
      <c r="C1086" s="20"/>
      <c r="D1086" s="21" t="s">
        <v>2574</v>
      </c>
      <c r="E1086" s="20"/>
      <c r="F1086" s="23" t="s">
        <v>394</v>
      </c>
      <c r="H1086" s="21" t="s">
        <v>2406</v>
      </c>
      <c r="J1086" s="21" t="s">
        <v>411</v>
      </c>
      <c r="L1086" s="21" t="s">
        <v>737</v>
      </c>
      <c r="N1086" s="21" t="s">
        <v>236</v>
      </c>
      <c r="P1086" s="21" t="s">
        <v>2405</v>
      </c>
      <c r="R1086" s="21" t="s">
        <v>77</v>
      </c>
      <c r="S1086" s="20"/>
      <c r="T1086" s="76" t="s">
        <v>2416</v>
      </c>
      <c r="U1086" s="77"/>
      <c r="V1086" s="26" t="s">
        <v>79</v>
      </c>
      <c r="W1086" s="25"/>
      <c r="X1086" s="26" t="s">
        <v>80</v>
      </c>
      <c r="Y1086" s="60"/>
      <c r="Z1086" s="26" t="s">
        <v>80</v>
      </c>
      <c r="AA1086" s="25"/>
      <c r="AB1086" s="26" t="s">
        <v>80</v>
      </c>
      <c r="AD1086" s="23" t="s">
        <v>2411</v>
      </c>
    </row>
    <row r="1087" spans="2:30" ht="84.95">
      <c r="B1087" s="21" t="s">
        <v>2760</v>
      </c>
      <c r="C1087" s="20"/>
      <c r="D1087" s="21" t="s">
        <v>2574</v>
      </c>
      <c r="E1087" s="20"/>
      <c r="F1087" s="23" t="s">
        <v>394</v>
      </c>
      <c r="H1087" s="21" t="s">
        <v>2406</v>
      </c>
      <c r="J1087" s="21" t="s">
        <v>411</v>
      </c>
      <c r="L1087" s="21" t="s">
        <v>737</v>
      </c>
      <c r="N1087" s="21" t="s">
        <v>236</v>
      </c>
      <c r="P1087" s="21" t="s">
        <v>2405</v>
      </c>
      <c r="R1087" s="21" t="s">
        <v>77</v>
      </c>
      <c r="S1087" s="20"/>
      <c r="T1087" s="76" t="s">
        <v>2416</v>
      </c>
      <c r="U1087" s="77"/>
      <c r="V1087" s="26" t="s">
        <v>79</v>
      </c>
      <c r="W1087" s="25"/>
      <c r="X1087" s="26" t="s">
        <v>80</v>
      </c>
      <c r="Y1087" s="60"/>
      <c r="Z1087" s="26" t="s">
        <v>80</v>
      </c>
      <c r="AA1087" s="25"/>
      <c r="AB1087" s="26" t="s">
        <v>80</v>
      </c>
      <c r="AD1087" s="23" t="s">
        <v>2411</v>
      </c>
    </row>
    <row r="1088" spans="2:30" ht="84.95">
      <c r="B1088" s="21" t="s">
        <v>2761</v>
      </c>
      <c r="C1088" s="20"/>
      <c r="D1088" s="21" t="s">
        <v>2574</v>
      </c>
      <c r="E1088" s="20"/>
      <c r="F1088" s="23" t="s">
        <v>394</v>
      </c>
      <c r="H1088" s="21" t="s">
        <v>2406</v>
      </c>
      <c r="J1088" s="21" t="s">
        <v>411</v>
      </c>
      <c r="L1088" s="21" t="s">
        <v>737</v>
      </c>
      <c r="N1088" s="21" t="s">
        <v>236</v>
      </c>
      <c r="P1088" s="21" t="s">
        <v>2405</v>
      </c>
      <c r="R1088" s="21" t="s">
        <v>77</v>
      </c>
      <c r="S1088" s="20"/>
      <c r="T1088" s="76" t="s">
        <v>2416</v>
      </c>
      <c r="U1088" s="77"/>
      <c r="V1088" s="26" t="s">
        <v>79</v>
      </c>
      <c r="W1088" s="25"/>
      <c r="X1088" s="26" t="s">
        <v>80</v>
      </c>
      <c r="Y1088" s="60"/>
      <c r="Z1088" s="26" t="s">
        <v>80</v>
      </c>
      <c r="AA1088" s="25"/>
      <c r="AB1088" s="26" t="s">
        <v>80</v>
      </c>
      <c r="AD1088" s="23" t="s">
        <v>2411</v>
      </c>
    </row>
    <row r="1089" spans="2:30" ht="84.95">
      <c r="B1089" s="21" t="s">
        <v>2762</v>
      </c>
      <c r="C1089" s="20"/>
      <c r="D1089" s="21" t="s">
        <v>2574</v>
      </c>
      <c r="E1089" s="20"/>
      <c r="F1089" s="23" t="s">
        <v>394</v>
      </c>
      <c r="H1089" s="21" t="s">
        <v>2406</v>
      </c>
      <c r="J1089" s="21" t="s">
        <v>411</v>
      </c>
      <c r="L1089" s="21" t="s">
        <v>737</v>
      </c>
      <c r="N1089" s="21" t="s">
        <v>236</v>
      </c>
      <c r="P1089" s="21" t="s">
        <v>2405</v>
      </c>
      <c r="R1089" s="21" t="s">
        <v>77</v>
      </c>
      <c r="S1089" s="20"/>
      <c r="T1089" s="76" t="s">
        <v>2416</v>
      </c>
      <c r="U1089" s="77"/>
      <c r="V1089" s="26" t="s">
        <v>79</v>
      </c>
      <c r="W1089" s="25"/>
      <c r="X1089" s="26" t="s">
        <v>80</v>
      </c>
      <c r="Y1089" s="60"/>
      <c r="Z1089" s="26" t="s">
        <v>80</v>
      </c>
      <c r="AA1089" s="25"/>
      <c r="AB1089" s="26" t="s">
        <v>80</v>
      </c>
      <c r="AD1089" s="23" t="s">
        <v>2411</v>
      </c>
    </row>
    <row r="1090" spans="2:30" ht="84.95">
      <c r="B1090" s="21" t="s">
        <v>2763</v>
      </c>
      <c r="C1090" s="20"/>
      <c r="D1090" s="21" t="s">
        <v>2574</v>
      </c>
      <c r="E1090" s="20"/>
      <c r="F1090" s="23" t="s">
        <v>394</v>
      </c>
      <c r="H1090" s="21" t="s">
        <v>2406</v>
      </c>
      <c r="J1090" s="21" t="s">
        <v>411</v>
      </c>
      <c r="L1090" s="21" t="s">
        <v>737</v>
      </c>
      <c r="N1090" s="21" t="s">
        <v>236</v>
      </c>
      <c r="P1090" s="21" t="s">
        <v>2405</v>
      </c>
      <c r="R1090" s="21" t="s">
        <v>77</v>
      </c>
      <c r="S1090" s="20"/>
      <c r="T1090" s="76" t="s">
        <v>2416</v>
      </c>
      <c r="U1090" s="77"/>
      <c r="V1090" s="26" t="s">
        <v>79</v>
      </c>
      <c r="W1090" s="25"/>
      <c r="X1090" s="26" t="s">
        <v>80</v>
      </c>
      <c r="Y1090" s="60"/>
      <c r="Z1090" s="26" t="s">
        <v>80</v>
      </c>
      <c r="AA1090" s="25"/>
      <c r="AB1090" s="26" t="s">
        <v>80</v>
      </c>
      <c r="AD1090" s="23" t="s">
        <v>2411</v>
      </c>
    </row>
    <row r="1091" spans="2:30" ht="84.95">
      <c r="B1091" s="21" t="s">
        <v>2764</v>
      </c>
      <c r="C1091" s="20"/>
      <c r="D1091" s="21" t="s">
        <v>2574</v>
      </c>
      <c r="E1091" s="20"/>
      <c r="F1091" s="23" t="s">
        <v>394</v>
      </c>
      <c r="H1091" s="21" t="s">
        <v>2406</v>
      </c>
      <c r="J1091" s="21" t="s">
        <v>411</v>
      </c>
      <c r="L1091" s="21" t="s">
        <v>737</v>
      </c>
      <c r="N1091" s="21" t="s">
        <v>236</v>
      </c>
      <c r="P1091" s="21" t="s">
        <v>2405</v>
      </c>
      <c r="R1091" s="21" t="s">
        <v>77</v>
      </c>
      <c r="S1091" s="20"/>
      <c r="T1091" s="76" t="s">
        <v>2416</v>
      </c>
      <c r="U1091" s="77"/>
      <c r="V1091" s="26" t="s">
        <v>79</v>
      </c>
      <c r="W1091" s="25"/>
      <c r="X1091" s="26" t="s">
        <v>80</v>
      </c>
      <c r="Y1091" s="60"/>
      <c r="Z1091" s="26" t="s">
        <v>80</v>
      </c>
      <c r="AA1091" s="25"/>
      <c r="AB1091" s="26" t="s">
        <v>80</v>
      </c>
      <c r="AD1091" s="23" t="s">
        <v>2411</v>
      </c>
    </row>
    <row r="1092" spans="2:30" ht="84.95">
      <c r="B1092" s="21" t="s">
        <v>2765</v>
      </c>
      <c r="C1092" s="20"/>
      <c r="D1092" s="21" t="s">
        <v>2574</v>
      </c>
      <c r="E1092" s="20"/>
      <c r="F1092" s="23" t="s">
        <v>394</v>
      </c>
      <c r="H1092" s="21" t="s">
        <v>2406</v>
      </c>
      <c r="J1092" s="21" t="s">
        <v>411</v>
      </c>
      <c r="L1092" s="21" t="s">
        <v>737</v>
      </c>
      <c r="N1092" s="21" t="s">
        <v>236</v>
      </c>
      <c r="P1092" s="21" t="s">
        <v>2405</v>
      </c>
      <c r="R1092" s="21" t="s">
        <v>77</v>
      </c>
      <c r="S1092" s="20"/>
      <c r="T1092" s="76" t="s">
        <v>2416</v>
      </c>
      <c r="U1092" s="77"/>
      <c r="V1092" s="26" t="s">
        <v>79</v>
      </c>
      <c r="W1092" s="25"/>
      <c r="X1092" s="26" t="s">
        <v>80</v>
      </c>
      <c r="Y1092" s="60"/>
      <c r="Z1092" s="26" t="s">
        <v>80</v>
      </c>
      <c r="AA1092" s="25"/>
      <c r="AB1092" s="26" t="s">
        <v>80</v>
      </c>
      <c r="AD1092" s="23" t="s">
        <v>2411</v>
      </c>
    </row>
    <row r="1093" spans="2:30" ht="84.95">
      <c r="B1093" s="21" t="s">
        <v>2766</v>
      </c>
      <c r="C1093" s="20"/>
      <c r="D1093" s="21" t="s">
        <v>2574</v>
      </c>
      <c r="E1093" s="20"/>
      <c r="F1093" s="23" t="s">
        <v>394</v>
      </c>
      <c r="H1093" s="21" t="s">
        <v>2406</v>
      </c>
      <c r="J1093" s="21" t="s">
        <v>411</v>
      </c>
      <c r="L1093" s="21" t="s">
        <v>737</v>
      </c>
      <c r="N1093" s="21" t="s">
        <v>236</v>
      </c>
      <c r="P1093" s="21" t="s">
        <v>2405</v>
      </c>
      <c r="R1093" s="21" t="s">
        <v>77</v>
      </c>
      <c r="S1093" s="20"/>
      <c r="T1093" s="76" t="s">
        <v>2416</v>
      </c>
      <c r="U1093" s="77"/>
      <c r="V1093" s="26" t="s">
        <v>79</v>
      </c>
      <c r="W1093" s="25"/>
      <c r="X1093" s="26" t="s">
        <v>80</v>
      </c>
      <c r="Y1093" s="60"/>
      <c r="Z1093" s="26" t="s">
        <v>80</v>
      </c>
      <c r="AA1093" s="25"/>
      <c r="AB1093" s="26" t="s">
        <v>80</v>
      </c>
      <c r="AD1093" s="23" t="s">
        <v>2411</v>
      </c>
    </row>
    <row r="1094" spans="2:30" ht="84.95">
      <c r="B1094" s="21" t="s">
        <v>2767</v>
      </c>
      <c r="C1094" s="20"/>
      <c r="D1094" s="21" t="s">
        <v>2574</v>
      </c>
      <c r="E1094" s="20"/>
      <c r="F1094" s="23" t="s">
        <v>394</v>
      </c>
      <c r="H1094" s="21" t="s">
        <v>2406</v>
      </c>
      <c r="J1094" s="21" t="s">
        <v>411</v>
      </c>
      <c r="L1094" s="21" t="s">
        <v>737</v>
      </c>
      <c r="N1094" s="21" t="s">
        <v>236</v>
      </c>
      <c r="P1094" s="21" t="s">
        <v>2405</v>
      </c>
      <c r="R1094" s="21" t="s">
        <v>77</v>
      </c>
      <c r="S1094" s="20"/>
      <c r="T1094" s="76" t="s">
        <v>2416</v>
      </c>
      <c r="V1094" s="26" t="s">
        <v>79</v>
      </c>
      <c r="W1094" s="25"/>
      <c r="X1094" s="26" t="s">
        <v>80</v>
      </c>
      <c r="Y1094" s="60"/>
      <c r="Z1094" s="26" t="s">
        <v>80</v>
      </c>
      <c r="AA1094" s="25"/>
      <c r="AB1094" s="26" t="s">
        <v>80</v>
      </c>
      <c r="AD1094" s="23" t="s">
        <v>2411</v>
      </c>
    </row>
    <row r="1095" spans="2:30" ht="84.95">
      <c r="B1095" s="21" t="s">
        <v>2768</v>
      </c>
      <c r="C1095" s="20"/>
      <c r="D1095" s="21" t="s">
        <v>2574</v>
      </c>
      <c r="E1095" s="20"/>
      <c r="F1095" s="23" t="s">
        <v>394</v>
      </c>
      <c r="H1095" s="21" t="s">
        <v>2406</v>
      </c>
      <c r="J1095" s="21" t="s">
        <v>411</v>
      </c>
      <c r="L1095" s="21" t="s">
        <v>737</v>
      </c>
      <c r="N1095" s="21" t="s">
        <v>236</v>
      </c>
      <c r="P1095" s="21" t="s">
        <v>2405</v>
      </c>
      <c r="R1095" s="21" t="s">
        <v>77</v>
      </c>
      <c r="S1095" s="20"/>
      <c r="T1095" s="76" t="s">
        <v>2416</v>
      </c>
      <c r="V1095" s="26" t="s">
        <v>79</v>
      </c>
      <c r="W1095" s="25"/>
      <c r="X1095" s="26" t="s">
        <v>80</v>
      </c>
      <c r="Y1095" s="60"/>
      <c r="Z1095" s="26" t="s">
        <v>80</v>
      </c>
      <c r="AA1095" s="25"/>
      <c r="AB1095" s="26" t="s">
        <v>80</v>
      </c>
      <c r="AD1095" s="23" t="s">
        <v>2411</v>
      </c>
    </row>
    <row r="1096" spans="2:30" ht="84.95">
      <c r="B1096" s="21" t="s">
        <v>2769</v>
      </c>
      <c r="C1096" s="20"/>
      <c r="D1096" s="21" t="s">
        <v>2574</v>
      </c>
      <c r="E1096" s="20"/>
      <c r="F1096" s="23" t="s">
        <v>394</v>
      </c>
      <c r="H1096" s="21" t="s">
        <v>2406</v>
      </c>
      <c r="J1096" s="21" t="s">
        <v>411</v>
      </c>
      <c r="L1096" s="21" t="s">
        <v>737</v>
      </c>
      <c r="N1096" s="21" t="s">
        <v>236</v>
      </c>
      <c r="P1096" s="21" t="s">
        <v>2405</v>
      </c>
      <c r="R1096" s="21" t="s">
        <v>77</v>
      </c>
      <c r="S1096" s="20"/>
      <c r="T1096" s="76" t="s">
        <v>2416</v>
      </c>
      <c r="U1096" s="77"/>
      <c r="V1096" s="26" t="s">
        <v>79</v>
      </c>
      <c r="W1096" s="25"/>
      <c r="X1096" s="26" t="s">
        <v>80</v>
      </c>
      <c r="Y1096" s="60"/>
      <c r="Z1096" s="26" t="s">
        <v>80</v>
      </c>
      <c r="AA1096" s="25"/>
      <c r="AB1096" s="26" t="s">
        <v>80</v>
      </c>
      <c r="AD1096" s="23" t="s">
        <v>2411</v>
      </c>
    </row>
    <row r="1097" spans="2:30" ht="84.95">
      <c r="B1097" s="21" t="s">
        <v>2770</v>
      </c>
      <c r="C1097" s="20"/>
      <c r="D1097" s="21" t="s">
        <v>2574</v>
      </c>
      <c r="E1097" s="20"/>
      <c r="F1097" s="23" t="s">
        <v>394</v>
      </c>
      <c r="H1097" s="21" t="s">
        <v>2406</v>
      </c>
      <c r="J1097" s="21" t="s">
        <v>411</v>
      </c>
      <c r="L1097" s="21" t="s">
        <v>737</v>
      </c>
      <c r="N1097" s="21" t="s">
        <v>236</v>
      </c>
      <c r="P1097" s="21" t="s">
        <v>2405</v>
      </c>
      <c r="R1097" s="21" t="s">
        <v>77</v>
      </c>
      <c r="S1097" s="20"/>
      <c r="T1097" s="76" t="s">
        <v>2416</v>
      </c>
      <c r="V1097" s="26" t="s">
        <v>79</v>
      </c>
      <c r="W1097" s="25"/>
      <c r="X1097" s="26" t="s">
        <v>80</v>
      </c>
      <c r="Y1097" s="60"/>
      <c r="Z1097" s="26" t="s">
        <v>80</v>
      </c>
      <c r="AA1097" s="25"/>
      <c r="AB1097" s="26" t="s">
        <v>80</v>
      </c>
      <c r="AD1097" s="23" t="s">
        <v>2411</v>
      </c>
    </row>
    <row r="1098" spans="2:30" ht="84.95">
      <c r="B1098" s="21" t="s">
        <v>2771</v>
      </c>
      <c r="C1098" s="20"/>
      <c r="D1098" s="21" t="s">
        <v>2574</v>
      </c>
      <c r="E1098" s="20"/>
      <c r="F1098" s="23" t="s">
        <v>394</v>
      </c>
      <c r="H1098" s="21" t="s">
        <v>2406</v>
      </c>
      <c r="J1098" s="21" t="s">
        <v>411</v>
      </c>
      <c r="L1098" s="21" t="s">
        <v>737</v>
      </c>
      <c r="N1098" s="21" t="s">
        <v>236</v>
      </c>
      <c r="P1098" s="21" t="s">
        <v>2405</v>
      </c>
      <c r="R1098" s="21" t="s">
        <v>77</v>
      </c>
      <c r="S1098" s="20"/>
      <c r="T1098" s="76" t="s">
        <v>2416</v>
      </c>
      <c r="V1098" s="26" t="s">
        <v>79</v>
      </c>
      <c r="W1098" s="25"/>
      <c r="X1098" s="26" t="s">
        <v>80</v>
      </c>
      <c r="Y1098" s="60"/>
      <c r="Z1098" s="26" t="s">
        <v>80</v>
      </c>
      <c r="AA1098" s="25"/>
      <c r="AB1098" s="26" t="s">
        <v>80</v>
      </c>
      <c r="AD1098" s="23" t="s">
        <v>2411</v>
      </c>
    </row>
    <row r="1099" spans="2:30" ht="84.95">
      <c r="B1099" s="21" t="s">
        <v>2772</v>
      </c>
      <c r="C1099" s="20"/>
      <c r="D1099" s="21" t="s">
        <v>2574</v>
      </c>
      <c r="E1099" s="20"/>
      <c r="F1099" s="23" t="s">
        <v>394</v>
      </c>
      <c r="H1099" s="21" t="s">
        <v>2406</v>
      </c>
      <c r="J1099" s="21" t="s">
        <v>411</v>
      </c>
      <c r="L1099" s="21" t="s">
        <v>737</v>
      </c>
      <c r="N1099" s="21" t="s">
        <v>236</v>
      </c>
      <c r="P1099" s="21" t="s">
        <v>2405</v>
      </c>
      <c r="R1099" s="21" t="s">
        <v>77</v>
      </c>
      <c r="S1099" s="20"/>
      <c r="T1099" s="76" t="s">
        <v>2416</v>
      </c>
      <c r="U1099" s="77"/>
      <c r="V1099" s="26" t="s">
        <v>79</v>
      </c>
      <c r="W1099" s="25"/>
      <c r="X1099" s="26" t="s">
        <v>80</v>
      </c>
      <c r="Y1099" s="60"/>
      <c r="Z1099" s="26" t="s">
        <v>80</v>
      </c>
      <c r="AA1099" s="25"/>
      <c r="AB1099" s="26" t="s">
        <v>80</v>
      </c>
      <c r="AD1099" s="23" t="s">
        <v>2411</v>
      </c>
    </row>
    <row r="1100" spans="2:30" ht="84.95">
      <c r="B1100" s="21" t="s">
        <v>2773</v>
      </c>
      <c r="C1100" s="20"/>
      <c r="D1100" s="21" t="s">
        <v>2574</v>
      </c>
      <c r="E1100" s="20"/>
      <c r="F1100" s="23" t="s">
        <v>394</v>
      </c>
      <c r="H1100" s="21" t="s">
        <v>2406</v>
      </c>
      <c r="J1100" s="21" t="s">
        <v>411</v>
      </c>
      <c r="L1100" s="21" t="s">
        <v>737</v>
      </c>
      <c r="N1100" s="21" t="s">
        <v>236</v>
      </c>
      <c r="P1100" s="21" t="s">
        <v>2405</v>
      </c>
      <c r="R1100" s="21" t="s">
        <v>77</v>
      </c>
      <c r="S1100" s="20"/>
      <c r="T1100" s="76" t="s">
        <v>2416</v>
      </c>
      <c r="V1100" s="26" t="s">
        <v>79</v>
      </c>
      <c r="W1100" s="25"/>
      <c r="X1100" s="26" t="s">
        <v>80</v>
      </c>
      <c r="Y1100" s="60"/>
      <c r="Z1100" s="26" t="s">
        <v>80</v>
      </c>
      <c r="AA1100" s="25"/>
      <c r="AB1100" s="26" t="s">
        <v>80</v>
      </c>
      <c r="AD1100" s="23" t="s">
        <v>2411</v>
      </c>
    </row>
    <row r="1101" spans="2:30" ht="84.95">
      <c r="B1101" s="21" t="s">
        <v>2774</v>
      </c>
      <c r="C1101" s="20"/>
      <c r="D1101" s="21" t="s">
        <v>2574</v>
      </c>
      <c r="E1101" s="20"/>
      <c r="F1101" s="23" t="s">
        <v>394</v>
      </c>
      <c r="H1101" s="21" t="s">
        <v>2406</v>
      </c>
      <c r="J1101" s="21" t="s">
        <v>411</v>
      </c>
      <c r="L1101" s="21" t="s">
        <v>737</v>
      </c>
      <c r="N1101" s="21" t="s">
        <v>236</v>
      </c>
      <c r="P1101" s="21" t="s">
        <v>2405</v>
      </c>
      <c r="R1101" s="21" t="s">
        <v>77</v>
      </c>
      <c r="S1101" s="20"/>
      <c r="T1101" s="76" t="s">
        <v>2416</v>
      </c>
      <c r="V1101" s="26" t="s">
        <v>79</v>
      </c>
      <c r="W1101" s="25"/>
      <c r="X1101" s="26" t="s">
        <v>80</v>
      </c>
      <c r="Y1101" s="60"/>
      <c r="Z1101" s="26" t="s">
        <v>80</v>
      </c>
      <c r="AA1101" s="25"/>
      <c r="AB1101" s="26" t="s">
        <v>80</v>
      </c>
      <c r="AD1101" s="23" t="s">
        <v>2411</v>
      </c>
    </row>
    <row r="1102" spans="2:30" ht="84.95">
      <c r="B1102" s="21" t="s">
        <v>2775</v>
      </c>
      <c r="C1102" s="20"/>
      <c r="D1102" s="21" t="s">
        <v>2574</v>
      </c>
      <c r="E1102" s="20"/>
      <c r="F1102" s="23" t="s">
        <v>394</v>
      </c>
      <c r="H1102" s="21" t="s">
        <v>2406</v>
      </c>
      <c r="J1102" s="21" t="s">
        <v>411</v>
      </c>
      <c r="L1102" s="21" t="s">
        <v>737</v>
      </c>
      <c r="N1102" s="21" t="s">
        <v>236</v>
      </c>
      <c r="P1102" s="21" t="s">
        <v>2405</v>
      </c>
      <c r="R1102" s="21" t="s">
        <v>77</v>
      </c>
      <c r="S1102" s="20"/>
      <c r="T1102" s="76" t="s">
        <v>2416</v>
      </c>
      <c r="V1102" s="26" t="s">
        <v>79</v>
      </c>
      <c r="W1102" s="25"/>
      <c r="X1102" s="26" t="s">
        <v>80</v>
      </c>
      <c r="Y1102" s="60"/>
      <c r="Z1102" s="26" t="s">
        <v>80</v>
      </c>
      <c r="AA1102" s="25"/>
      <c r="AB1102" s="26" t="s">
        <v>80</v>
      </c>
      <c r="AD1102" s="23" t="s">
        <v>2411</v>
      </c>
    </row>
    <row r="1103" spans="2:30" ht="84.95">
      <c r="B1103" s="21" t="s">
        <v>2776</v>
      </c>
      <c r="C1103" s="20"/>
      <c r="D1103" s="21" t="s">
        <v>2574</v>
      </c>
      <c r="E1103" s="20"/>
      <c r="F1103" s="23" t="s">
        <v>394</v>
      </c>
      <c r="H1103" s="21" t="s">
        <v>2406</v>
      </c>
      <c r="J1103" s="21" t="s">
        <v>411</v>
      </c>
      <c r="L1103" s="21" t="s">
        <v>737</v>
      </c>
      <c r="N1103" s="21" t="s">
        <v>236</v>
      </c>
      <c r="P1103" s="21" t="s">
        <v>2405</v>
      </c>
      <c r="R1103" s="21" t="s">
        <v>77</v>
      </c>
      <c r="S1103" s="20"/>
      <c r="T1103" s="76" t="s">
        <v>2416</v>
      </c>
      <c r="U1103" s="77"/>
      <c r="V1103" s="26" t="s">
        <v>79</v>
      </c>
      <c r="W1103" s="25"/>
      <c r="X1103" s="26" t="s">
        <v>80</v>
      </c>
      <c r="Y1103" s="60"/>
      <c r="Z1103" s="26" t="s">
        <v>80</v>
      </c>
      <c r="AA1103" s="25"/>
      <c r="AB1103" s="26" t="s">
        <v>80</v>
      </c>
      <c r="AD1103" s="23" t="s">
        <v>2411</v>
      </c>
    </row>
    <row r="1104" spans="2:30" ht="84.95">
      <c r="B1104" s="21" t="s">
        <v>2777</v>
      </c>
      <c r="C1104" s="20"/>
      <c r="D1104" s="21" t="s">
        <v>2574</v>
      </c>
      <c r="E1104" s="20"/>
      <c r="F1104" s="23" t="s">
        <v>394</v>
      </c>
      <c r="H1104" s="21" t="s">
        <v>2406</v>
      </c>
      <c r="J1104" s="21" t="s">
        <v>411</v>
      </c>
      <c r="L1104" s="21" t="s">
        <v>737</v>
      </c>
      <c r="N1104" s="21" t="s">
        <v>236</v>
      </c>
      <c r="P1104" s="21" t="s">
        <v>2405</v>
      </c>
      <c r="R1104" s="21" t="s">
        <v>77</v>
      </c>
      <c r="S1104" s="20"/>
      <c r="T1104" s="76" t="s">
        <v>2416</v>
      </c>
      <c r="U1104" s="77"/>
      <c r="V1104" s="26" t="s">
        <v>79</v>
      </c>
      <c r="W1104" s="25"/>
      <c r="X1104" s="26" t="s">
        <v>80</v>
      </c>
      <c r="Y1104" s="60"/>
      <c r="Z1104" s="26" t="s">
        <v>80</v>
      </c>
      <c r="AA1104" s="25"/>
      <c r="AB1104" s="26" t="s">
        <v>80</v>
      </c>
      <c r="AD1104" s="23" t="s">
        <v>2411</v>
      </c>
    </row>
    <row r="1105" spans="1:30" ht="84.95">
      <c r="B1105" s="21" t="s">
        <v>2778</v>
      </c>
      <c r="C1105" s="20"/>
      <c r="D1105" s="21" t="s">
        <v>2590</v>
      </c>
      <c r="E1105" s="20"/>
      <c r="F1105" s="23" t="s">
        <v>394</v>
      </c>
      <c r="H1105" s="21" t="s">
        <v>2406</v>
      </c>
      <c r="J1105" s="21" t="s">
        <v>411</v>
      </c>
      <c r="L1105" s="21" t="s">
        <v>737</v>
      </c>
      <c r="N1105" s="21" t="s">
        <v>236</v>
      </c>
      <c r="P1105" s="21" t="s">
        <v>2405</v>
      </c>
      <c r="R1105" s="21" t="s">
        <v>77</v>
      </c>
      <c r="S1105" s="20"/>
      <c r="T1105" s="76" t="s">
        <v>2416</v>
      </c>
      <c r="U1105" s="77"/>
      <c r="V1105" s="26" t="s">
        <v>79</v>
      </c>
      <c r="W1105" s="25"/>
      <c r="X1105" s="26" t="s">
        <v>80</v>
      </c>
      <c r="Y1105" s="60"/>
      <c r="Z1105" s="26" t="s">
        <v>80</v>
      </c>
      <c r="AA1105" s="25"/>
      <c r="AB1105" s="26" t="s">
        <v>80</v>
      </c>
      <c r="AD1105" s="23" t="s">
        <v>2411</v>
      </c>
    </row>
    <row r="1106" spans="1:30" ht="278.10000000000002" customHeight="1">
      <c r="B1106" s="21" t="s">
        <v>2779</v>
      </c>
      <c r="C1106" s="20"/>
      <c r="D1106" s="21" t="s">
        <v>115</v>
      </c>
      <c r="E1106" s="20"/>
      <c r="F1106" s="23" t="s">
        <v>402</v>
      </c>
      <c r="H1106" s="21" t="s">
        <v>403</v>
      </c>
      <c r="J1106" s="21" t="s">
        <v>2780</v>
      </c>
      <c r="L1106" s="21" t="s">
        <v>737</v>
      </c>
      <c r="N1106" s="21" t="s">
        <v>178</v>
      </c>
      <c r="P1106" s="21" t="s">
        <v>2781</v>
      </c>
      <c r="R1106" s="21" t="s">
        <v>77</v>
      </c>
      <c r="S1106" s="20"/>
      <c r="T1106" s="76" t="s">
        <v>2782</v>
      </c>
      <c r="U1106" s="77"/>
      <c r="V1106" s="26" t="s">
        <v>79</v>
      </c>
      <c r="W1106" s="25"/>
      <c r="X1106" s="26" t="s">
        <v>80</v>
      </c>
      <c r="Y1106" s="85"/>
      <c r="Z1106" s="26" t="s">
        <v>79</v>
      </c>
      <c r="AA1106" s="25"/>
      <c r="AB1106" s="23" t="s">
        <v>80</v>
      </c>
      <c r="AD1106" s="23" t="s">
        <v>2783</v>
      </c>
    </row>
    <row r="1107" spans="1:30" ht="86.1" customHeight="1">
      <c r="B1107" s="21" t="s">
        <v>2784</v>
      </c>
      <c r="C1107" s="20"/>
      <c r="D1107" s="21" t="s">
        <v>115</v>
      </c>
      <c r="E1107" s="20"/>
      <c r="F1107" s="23" t="s">
        <v>402</v>
      </c>
      <c r="H1107" s="21" t="s">
        <v>2785</v>
      </c>
      <c r="J1107" s="21" t="s">
        <v>411</v>
      </c>
      <c r="L1107" s="21" t="s">
        <v>737</v>
      </c>
      <c r="N1107" s="21" t="s">
        <v>236</v>
      </c>
      <c r="P1107" s="21" t="s">
        <v>2786</v>
      </c>
      <c r="R1107" s="21" t="s">
        <v>77</v>
      </c>
      <c r="S1107" s="20"/>
      <c r="T1107" s="76" t="s">
        <v>2787</v>
      </c>
      <c r="U1107" s="77"/>
      <c r="V1107" s="26" t="s">
        <v>79</v>
      </c>
      <c r="W1107" s="25"/>
      <c r="X1107" s="26" t="s">
        <v>80</v>
      </c>
      <c r="Y1107" s="85"/>
      <c r="Z1107" s="26" t="s">
        <v>80</v>
      </c>
      <c r="AA1107" s="25"/>
      <c r="AB1107" s="23" t="s">
        <v>2788</v>
      </c>
      <c r="AD1107" s="23" t="s">
        <v>2789</v>
      </c>
    </row>
    <row r="1108" spans="1:30" ht="164.1" customHeight="1">
      <c r="B1108" s="21" t="s">
        <v>2790</v>
      </c>
      <c r="C1108" s="20"/>
      <c r="D1108" s="21" t="s">
        <v>115</v>
      </c>
      <c r="E1108" s="20"/>
      <c r="F1108" s="23" t="s">
        <v>402</v>
      </c>
      <c r="H1108" s="21" t="s">
        <v>416</v>
      </c>
      <c r="J1108" s="21" t="s">
        <v>411</v>
      </c>
      <c r="L1108" s="21" t="s">
        <v>737</v>
      </c>
      <c r="N1108" s="21" t="s">
        <v>236</v>
      </c>
      <c r="P1108" s="21" t="s">
        <v>2791</v>
      </c>
      <c r="R1108" s="21" t="s">
        <v>77</v>
      </c>
      <c r="S1108" s="20"/>
      <c r="T1108" s="89" t="s">
        <v>2792</v>
      </c>
      <c r="V1108" s="26" t="s">
        <v>79</v>
      </c>
      <c r="W1108" s="25"/>
      <c r="X1108" s="26" t="s">
        <v>80</v>
      </c>
      <c r="Y1108" s="60"/>
      <c r="Z1108" s="26" t="s">
        <v>79</v>
      </c>
      <c r="AA1108" s="25"/>
      <c r="AB1108" s="23" t="s">
        <v>2793</v>
      </c>
      <c r="AD1108" s="23" t="s">
        <v>2794</v>
      </c>
    </row>
    <row r="1109" spans="1:30" ht="119.1">
      <c r="B1109" s="21" t="s">
        <v>2795</v>
      </c>
      <c r="C1109" s="20"/>
      <c r="D1109" s="21" t="s">
        <v>454</v>
      </c>
      <c r="E1109" s="20"/>
      <c r="F1109" s="23" t="s">
        <v>429</v>
      </c>
      <c r="H1109" s="21" t="s">
        <v>88</v>
      </c>
      <c r="J1109" s="21" t="s">
        <v>411</v>
      </c>
      <c r="L1109" s="21" t="s">
        <v>737</v>
      </c>
      <c r="N1109" s="21" t="s">
        <v>236</v>
      </c>
      <c r="P1109" s="21" t="s">
        <v>2796</v>
      </c>
      <c r="R1109" s="21" t="s">
        <v>77</v>
      </c>
      <c r="S1109" s="20"/>
      <c r="T1109" s="76" t="s">
        <v>2797</v>
      </c>
      <c r="V1109" s="26" t="s">
        <v>79</v>
      </c>
      <c r="W1109" s="25"/>
      <c r="X1109" s="26" t="s">
        <v>80</v>
      </c>
      <c r="Y1109" s="60"/>
      <c r="Z1109" s="26" t="s">
        <v>80</v>
      </c>
      <c r="AA1109" s="25"/>
      <c r="AB1109" s="23" t="s">
        <v>465</v>
      </c>
      <c r="AD1109" s="23" t="s">
        <v>2798</v>
      </c>
    </row>
    <row r="1110" spans="1:30" ht="409.6">
      <c r="B1110" s="21" t="s">
        <v>2799</v>
      </c>
      <c r="C1110" s="20"/>
      <c r="D1110" s="21" t="s">
        <v>71</v>
      </c>
      <c r="E1110" s="20"/>
      <c r="F1110" s="23" t="s">
        <v>71</v>
      </c>
      <c r="H1110" s="21" t="s">
        <v>2800</v>
      </c>
      <c r="J1110" s="21" t="s">
        <v>411</v>
      </c>
      <c r="L1110" s="21" t="s">
        <v>737</v>
      </c>
      <c r="N1110" s="21" t="s">
        <v>2801</v>
      </c>
      <c r="P1110" s="21" t="s">
        <v>2802</v>
      </c>
      <c r="R1110" s="21" t="s">
        <v>77</v>
      </c>
      <c r="S1110" s="20"/>
      <c r="T1110" s="76" t="s">
        <v>2803</v>
      </c>
      <c r="U1110" s="77"/>
      <c r="V1110" s="26" t="s">
        <v>79</v>
      </c>
      <c r="W1110" s="25"/>
      <c r="X1110" s="26" t="s">
        <v>80</v>
      </c>
      <c r="Y1110" s="85"/>
      <c r="Z1110" s="26" t="s">
        <v>79</v>
      </c>
      <c r="AA1110" s="25"/>
      <c r="AB1110" s="23" t="s">
        <v>2804</v>
      </c>
      <c r="AC1110" s="20"/>
      <c r="AD1110" s="23" t="s">
        <v>2805</v>
      </c>
    </row>
    <row r="1111" spans="1:30" ht="84.95" customHeight="1">
      <c r="B1111" s="21" t="s">
        <v>2806</v>
      </c>
      <c r="C1111" s="20"/>
      <c r="D1111" s="21" t="s">
        <v>2807</v>
      </c>
      <c r="E1111" s="20"/>
      <c r="F1111" s="23" t="s">
        <v>402</v>
      </c>
      <c r="H1111" s="21" t="s">
        <v>2808</v>
      </c>
      <c r="J1111" s="21" t="s">
        <v>411</v>
      </c>
      <c r="L1111" s="21" t="s">
        <v>737</v>
      </c>
      <c r="N1111" s="21" t="s">
        <v>481</v>
      </c>
      <c r="P1111" s="21" t="s">
        <v>2809</v>
      </c>
      <c r="R1111" s="21" t="s">
        <v>77</v>
      </c>
      <c r="S1111" s="20"/>
      <c r="T1111" s="76" t="s">
        <v>2810</v>
      </c>
      <c r="U1111" s="77"/>
      <c r="V1111" s="26" t="s">
        <v>79</v>
      </c>
      <c r="W1111" s="25"/>
      <c r="X1111" s="26" t="s">
        <v>80</v>
      </c>
      <c r="Y1111" s="85"/>
      <c r="Z1111" s="26" t="s">
        <v>80</v>
      </c>
      <c r="AA1111" s="25"/>
      <c r="AB1111" s="26" t="s">
        <v>80</v>
      </c>
      <c r="AD1111" s="23" t="s">
        <v>2811</v>
      </c>
    </row>
    <row r="1112" spans="1:30" ht="161.1" customHeight="1">
      <c r="B1112" s="21" t="s">
        <v>2812</v>
      </c>
      <c r="C1112" s="20"/>
      <c r="D1112" s="21" t="s">
        <v>115</v>
      </c>
      <c r="E1112" s="20"/>
      <c r="F1112" s="23" t="s">
        <v>402</v>
      </c>
      <c r="H1112" s="21" t="s">
        <v>2813</v>
      </c>
      <c r="J1112" s="21" t="s">
        <v>411</v>
      </c>
      <c r="L1112" s="21" t="s">
        <v>737</v>
      </c>
      <c r="N1112" s="21" t="s">
        <v>481</v>
      </c>
      <c r="P1112" s="21" t="s">
        <v>2814</v>
      </c>
      <c r="R1112" s="21" t="s">
        <v>77</v>
      </c>
      <c r="S1112" s="20"/>
      <c r="T1112" s="76" t="s">
        <v>2815</v>
      </c>
      <c r="U1112" s="77"/>
      <c r="V1112" s="26" t="s">
        <v>79</v>
      </c>
      <c r="W1112" s="25"/>
      <c r="X1112" s="26" t="s">
        <v>80</v>
      </c>
      <c r="Y1112" s="85"/>
      <c r="Z1112" s="26" t="s">
        <v>80</v>
      </c>
      <c r="AA1112" s="25"/>
      <c r="AB1112" s="26" t="s">
        <v>80</v>
      </c>
      <c r="AD1112" s="23" t="s">
        <v>2816</v>
      </c>
    </row>
    <row r="1113" spans="1:30" ht="170.1">
      <c r="B1113" s="21" t="s">
        <v>2817</v>
      </c>
      <c r="C1113" s="20"/>
      <c r="D1113" s="21" t="s">
        <v>115</v>
      </c>
      <c r="E1113" s="20"/>
      <c r="F1113" s="23" t="s">
        <v>402</v>
      </c>
      <c r="H1113" s="21" t="s">
        <v>116</v>
      </c>
      <c r="J1113" s="21" t="s">
        <v>411</v>
      </c>
      <c r="L1113" s="21" t="s">
        <v>737</v>
      </c>
      <c r="N1113" s="21" t="s">
        <v>481</v>
      </c>
      <c r="P1113" s="21" t="s">
        <v>2818</v>
      </c>
      <c r="R1113" s="21" t="s">
        <v>77</v>
      </c>
      <c r="S1113" s="20"/>
      <c r="T1113" s="76" t="s">
        <v>2819</v>
      </c>
      <c r="U1113" s="77"/>
      <c r="V1113" s="26" t="s">
        <v>79</v>
      </c>
      <c r="W1113" s="25"/>
      <c r="X1113" s="26" t="s">
        <v>80</v>
      </c>
      <c r="Y1113" s="85"/>
      <c r="Z1113" s="26" t="s">
        <v>80</v>
      </c>
      <c r="AA1113" s="25"/>
      <c r="AB1113" s="26" t="s">
        <v>80</v>
      </c>
      <c r="AD1113" s="23" t="s">
        <v>2820</v>
      </c>
    </row>
    <row r="1114" spans="1:30" ht="96.95" customHeight="1">
      <c r="A1114" s="25"/>
      <c r="B1114" s="21" t="s">
        <v>2821</v>
      </c>
      <c r="C1114" s="20"/>
      <c r="D1114" s="21" t="s">
        <v>115</v>
      </c>
      <c r="E1114" s="20"/>
      <c r="F1114" s="23" t="s">
        <v>402</v>
      </c>
      <c r="H1114" s="21" t="s">
        <v>2822</v>
      </c>
      <c r="J1114" s="21" t="s">
        <v>411</v>
      </c>
      <c r="L1114" s="21" t="s">
        <v>737</v>
      </c>
      <c r="N1114" s="21" t="s">
        <v>202</v>
      </c>
      <c r="P1114" s="21" t="s">
        <v>2823</v>
      </c>
      <c r="R1114" s="21" t="s">
        <v>77</v>
      </c>
      <c r="S1114" s="20"/>
      <c r="T1114" s="58" t="s">
        <v>2824</v>
      </c>
      <c r="V1114" s="26" t="s">
        <v>79</v>
      </c>
      <c r="W1114" s="25"/>
      <c r="X1114" s="26" t="s">
        <v>79</v>
      </c>
      <c r="Y1114" s="60"/>
      <c r="Z1114" s="26" t="s">
        <v>80</v>
      </c>
      <c r="AA1114" s="25"/>
      <c r="AB1114" s="26" t="s">
        <v>80</v>
      </c>
      <c r="AD1114" s="23" t="s">
        <v>2825</v>
      </c>
    </row>
    <row r="1115" spans="1:30" ht="84.95">
      <c r="B1115" s="21" t="s">
        <v>2826</v>
      </c>
      <c r="C1115" s="20"/>
      <c r="D1115" s="21" t="s">
        <v>486</v>
      </c>
      <c r="E1115" s="20"/>
      <c r="F1115" s="23" t="s">
        <v>254</v>
      </c>
      <c r="H1115" s="21" t="s">
        <v>262</v>
      </c>
      <c r="J1115" s="21" t="s">
        <v>2827</v>
      </c>
      <c r="L1115" s="21" t="s">
        <v>737</v>
      </c>
      <c r="N1115" s="21" t="s">
        <v>103</v>
      </c>
      <c r="P1115" s="21" t="s">
        <v>2828</v>
      </c>
      <c r="R1115" s="21" t="s">
        <v>77</v>
      </c>
      <c r="S1115" s="20"/>
      <c r="T1115" s="93" t="s">
        <v>2829</v>
      </c>
      <c r="V1115" s="26" t="s">
        <v>80</v>
      </c>
      <c r="W1115" s="25"/>
      <c r="X1115" s="26" t="s">
        <v>80</v>
      </c>
      <c r="Y1115" s="25"/>
      <c r="Z1115" s="26" t="s">
        <v>80</v>
      </c>
      <c r="AA1115" s="25"/>
      <c r="AB1115" s="26" t="s">
        <v>80</v>
      </c>
      <c r="AD1115" s="23" t="s">
        <v>2830</v>
      </c>
    </row>
    <row r="1116" spans="1:30" ht="84.95">
      <c r="B1116" s="21" t="s">
        <v>2831</v>
      </c>
      <c r="C1116" s="20"/>
      <c r="D1116" s="21" t="s">
        <v>486</v>
      </c>
      <c r="E1116" s="20"/>
      <c r="F1116" s="23" t="s">
        <v>254</v>
      </c>
      <c r="H1116" s="21" t="s">
        <v>298</v>
      </c>
      <c r="J1116" s="21" t="s">
        <v>2827</v>
      </c>
      <c r="L1116" s="21" t="s">
        <v>737</v>
      </c>
      <c r="N1116" s="21" t="s">
        <v>185</v>
      </c>
      <c r="P1116" s="21" t="s">
        <v>2832</v>
      </c>
      <c r="R1116" s="21" t="s">
        <v>77</v>
      </c>
      <c r="S1116" s="20"/>
      <c r="T1116" s="24" t="s">
        <v>2829</v>
      </c>
      <c r="V1116" s="26" t="s">
        <v>80</v>
      </c>
      <c r="W1116" s="25"/>
      <c r="X1116" s="26" t="s">
        <v>80</v>
      </c>
      <c r="Y1116" s="25"/>
      <c r="Z1116" s="26" t="s">
        <v>80</v>
      </c>
      <c r="AA1116" s="25"/>
      <c r="AB1116" s="26" t="s">
        <v>80</v>
      </c>
      <c r="AD1116" s="23" t="s">
        <v>2830</v>
      </c>
    </row>
    <row r="1117" spans="1:30" ht="84.95">
      <c r="A1117" s="21"/>
      <c r="B1117" s="21" t="s">
        <v>2833</v>
      </c>
      <c r="C1117" s="20"/>
      <c r="D1117" s="21" t="s">
        <v>209</v>
      </c>
      <c r="E1117" s="20"/>
      <c r="F1117" s="23" t="s">
        <v>254</v>
      </c>
      <c r="H1117" s="21" t="s">
        <v>77</v>
      </c>
      <c r="J1117" s="21" t="s">
        <v>2827</v>
      </c>
      <c r="L1117" s="21" t="s">
        <v>737</v>
      </c>
      <c r="N1117" s="21" t="s">
        <v>185</v>
      </c>
      <c r="P1117" s="21" t="s">
        <v>2834</v>
      </c>
      <c r="R1117" s="21" t="s">
        <v>77</v>
      </c>
      <c r="S1117" s="20"/>
      <c r="T1117" s="93" t="s">
        <v>2829</v>
      </c>
      <c r="V1117" s="26" t="s">
        <v>80</v>
      </c>
      <c r="W1117" s="25"/>
      <c r="X1117" s="26" t="s">
        <v>80</v>
      </c>
      <c r="Y1117" s="25"/>
      <c r="Z1117" s="26" t="s">
        <v>80</v>
      </c>
      <c r="AA1117" s="25"/>
      <c r="AB1117" s="26" t="s">
        <v>80</v>
      </c>
      <c r="AD1117" s="23" t="s">
        <v>2830</v>
      </c>
    </row>
    <row r="1118" spans="1:30" ht="75.95" customHeight="1">
      <c r="B1118" s="21" t="s">
        <v>2835</v>
      </c>
      <c r="C1118" s="20"/>
      <c r="D1118" s="21" t="s">
        <v>2836</v>
      </c>
      <c r="E1118" s="20"/>
      <c r="F1118" s="23" t="s">
        <v>254</v>
      </c>
      <c r="H1118" s="21" t="s">
        <v>77</v>
      </c>
      <c r="J1118" s="21" t="s">
        <v>2827</v>
      </c>
      <c r="L1118" s="21" t="s">
        <v>737</v>
      </c>
      <c r="N1118" s="21" t="s">
        <v>185</v>
      </c>
      <c r="P1118" s="21" t="s">
        <v>2837</v>
      </c>
      <c r="R1118" s="21" t="s">
        <v>77</v>
      </c>
      <c r="S1118" s="20"/>
      <c r="T1118" s="76" t="s">
        <v>2838</v>
      </c>
      <c r="U1118" s="77"/>
      <c r="V1118" s="26" t="s">
        <v>80</v>
      </c>
      <c r="W1118" s="25"/>
      <c r="X1118" s="26" t="s">
        <v>80</v>
      </c>
      <c r="Y1118" s="25"/>
      <c r="Z1118" s="26" t="s">
        <v>80</v>
      </c>
      <c r="AA1118" s="25"/>
      <c r="AB1118" s="26" t="s">
        <v>80</v>
      </c>
      <c r="AD1118" s="23" t="s">
        <v>2830</v>
      </c>
    </row>
    <row r="1119" spans="1:30" ht="68.099999999999994">
      <c r="A1119" s="21"/>
      <c r="B1119" s="21" t="s">
        <v>2839</v>
      </c>
      <c r="C1119" s="20"/>
      <c r="D1119" s="21" t="s">
        <v>71</v>
      </c>
      <c r="E1119" s="20"/>
      <c r="F1119" s="23" t="s">
        <v>71</v>
      </c>
      <c r="H1119" s="21" t="s">
        <v>262</v>
      </c>
      <c r="J1119" s="21" t="s">
        <v>2827</v>
      </c>
      <c r="L1119" s="21" t="s">
        <v>737</v>
      </c>
      <c r="N1119" s="21" t="s">
        <v>77</v>
      </c>
      <c r="P1119" s="21" t="s">
        <v>2840</v>
      </c>
      <c r="R1119" s="21" t="s">
        <v>77</v>
      </c>
      <c r="S1119" s="20"/>
      <c r="T1119" s="24" t="s">
        <v>2841</v>
      </c>
      <c r="V1119" s="26" t="s">
        <v>80</v>
      </c>
      <c r="W1119" s="25"/>
      <c r="X1119" s="26" t="s">
        <v>80</v>
      </c>
      <c r="Y1119" s="25"/>
      <c r="Z1119" s="26" t="s">
        <v>80</v>
      </c>
      <c r="AA1119" s="25"/>
      <c r="AB1119" s="26" t="s">
        <v>80</v>
      </c>
      <c r="AD1119" s="23" t="s">
        <v>2830</v>
      </c>
    </row>
    <row r="1120" spans="1:30" ht="68.099999999999994">
      <c r="A1120" s="21"/>
      <c r="B1120" s="21" t="s">
        <v>2842</v>
      </c>
      <c r="C1120" s="20"/>
      <c r="D1120" s="21" t="s">
        <v>71</v>
      </c>
      <c r="E1120" s="20"/>
      <c r="F1120" s="23" t="s">
        <v>71</v>
      </c>
      <c r="H1120" s="21" t="s">
        <v>364</v>
      </c>
      <c r="J1120" s="21" t="s">
        <v>2827</v>
      </c>
      <c r="L1120" s="21" t="s">
        <v>737</v>
      </c>
      <c r="N1120" s="21" t="s">
        <v>77</v>
      </c>
      <c r="P1120" s="21" t="s">
        <v>2843</v>
      </c>
      <c r="R1120" s="21" t="s">
        <v>77</v>
      </c>
      <c r="S1120" s="20"/>
      <c r="T1120" s="24" t="s">
        <v>2841</v>
      </c>
      <c r="V1120" s="26" t="s">
        <v>80</v>
      </c>
      <c r="W1120" s="25"/>
      <c r="X1120" s="26" t="s">
        <v>80</v>
      </c>
      <c r="Y1120" s="25"/>
      <c r="Z1120" s="26" t="s">
        <v>80</v>
      </c>
      <c r="AA1120" s="25"/>
      <c r="AB1120" s="26" t="s">
        <v>80</v>
      </c>
      <c r="AD1120" s="23" t="s">
        <v>2830</v>
      </c>
    </row>
    <row r="1121" spans="1:30" ht="68.099999999999994">
      <c r="A1121" s="21"/>
      <c r="B1121" s="21" t="s">
        <v>2844</v>
      </c>
      <c r="C1121" s="20"/>
      <c r="D1121" s="21" t="s">
        <v>71</v>
      </c>
      <c r="E1121" s="20"/>
      <c r="F1121" s="23" t="s">
        <v>71</v>
      </c>
      <c r="H1121" s="21" t="s">
        <v>364</v>
      </c>
      <c r="J1121" s="21" t="s">
        <v>2827</v>
      </c>
      <c r="L1121" s="21" t="s">
        <v>737</v>
      </c>
      <c r="N1121" s="21" t="s">
        <v>77</v>
      </c>
      <c r="P1121" s="21" t="s">
        <v>2845</v>
      </c>
      <c r="R1121" s="21" t="s">
        <v>77</v>
      </c>
      <c r="S1121" s="20"/>
      <c r="T1121" s="24" t="s">
        <v>2841</v>
      </c>
      <c r="V1121" s="26" t="s">
        <v>80</v>
      </c>
      <c r="W1121" s="25"/>
      <c r="X1121" s="26" t="s">
        <v>80</v>
      </c>
      <c r="Y1121" s="25"/>
      <c r="Z1121" s="26" t="s">
        <v>80</v>
      </c>
      <c r="AA1121" s="25"/>
      <c r="AB1121" s="26" t="s">
        <v>80</v>
      </c>
      <c r="AD1121" s="23" t="s">
        <v>2830</v>
      </c>
    </row>
    <row r="1122" spans="1:30" ht="68.099999999999994">
      <c r="A1122" s="21"/>
      <c r="B1122" s="21" t="s">
        <v>2846</v>
      </c>
      <c r="C1122" s="20"/>
      <c r="D1122" s="21" t="s">
        <v>71</v>
      </c>
      <c r="E1122" s="20"/>
      <c r="F1122" s="23" t="s">
        <v>71</v>
      </c>
      <c r="H1122" s="21" t="s">
        <v>77</v>
      </c>
      <c r="J1122" s="21" t="s">
        <v>2827</v>
      </c>
      <c r="L1122" s="21" t="s">
        <v>737</v>
      </c>
      <c r="N1122" s="21" t="s">
        <v>185</v>
      </c>
      <c r="P1122" s="21" t="s">
        <v>2847</v>
      </c>
      <c r="R1122" s="21" t="s">
        <v>77</v>
      </c>
      <c r="S1122" s="20"/>
      <c r="T1122" s="24" t="s">
        <v>2841</v>
      </c>
      <c r="V1122" s="26" t="s">
        <v>80</v>
      </c>
      <c r="W1122" s="25"/>
      <c r="X1122" s="26" t="s">
        <v>80</v>
      </c>
      <c r="Y1122" s="25"/>
      <c r="Z1122" s="26" t="s">
        <v>80</v>
      </c>
      <c r="AA1122" s="25"/>
      <c r="AB1122" s="26" t="s">
        <v>80</v>
      </c>
      <c r="AD1122" s="23" t="s">
        <v>2830</v>
      </c>
    </row>
    <row r="1123" spans="1:30" ht="68.099999999999994">
      <c r="A1123" s="21"/>
      <c r="B1123" s="21" t="s">
        <v>2848</v>
      </c>
      <c r="C1123" s="20"/>
      <c r="D1123" s="21" t="s">
        <v>71</v>
      </c>
      <c r="E1123" s="20"/>
      <c r="F1123" s="23" t="s">
        <v>71</v>
      </c>
      <c r="H1123" s="21" t="s">
        <v>77</v>
      </c>
      <c r="J1123" s="21" t="s">
        <v>2827</v>
      </c>
      <c r="L1123" s="21" t="s">
        <v>737</v>
      </c>
      <c r="N1123" s="21" t="s">
        <v>185</v>
      </c>
      <c r="P1123" s="21" t="s">
        <v>2849</v>
      </c>
      <c r="R1123" s="21" t="s">
        <v>77</v>
      </c>
      <c r="S1123" s="20"/>
      <c r="T1123" s="24" t="s">
        <v>2841</v>
      </c>
      <c r="V1123" s="26" t="s">
        <v>80</v>
      </c>
      <c r="W1123" s="25"/>
      <c r="X1123" s="26" t="s">
        <v>80</v>
      </c>
      <c r="Y1123" s="25"/>
      <c r="Z1123" s="26" t="s">
        <v>80</v>
      </c>
      <c r="AA1123" s="25"/>
      <c r="AB1123" s="26" t="s">
        <v>80</v>
      </c>
      <c r="AD1123" s="23" t="s">
        <v>2830</v>
      </c>
    </row>
    <row r="1124" spans="1:30" ht="84.95">
      <c r="B1124" s="21" t="s">
        <v>2850</v>
      </c>
      <c r="C1124" s="20"/>
      <c r="D1124" s="21" t="s">
        <v>2851</v>
      </c>
      <c r="E1124" s="20"/>
      <c r="F1124" s="23" t="s">
        <v>123</v>
      </c>
      <c r="H1124" s="21" t="s">
        <v>298</v>
      </c>
      <c r="J1124" s="21" t="s">
        <v>2827</v>
      </c>
      <c r="L1124" s="21" t="s">
        <v>737</v>
      </c>
      <c r="N1124" s="21" t="s">
        <v>103</v>
      </c>
      <c r="P1124" s="21" t="s">
        <v>2852</v>
      </c>
      <c r="R1124" s="21" t="s">
        <v>77</v>
      </c>
      <c r="S1124" s="20"/>
      <c r="T1124" s="24" t="s">
        <v>2853</v>
      </c>
      <c r="V1124" s="26" t="s">
        <v>80</v>
      </c>
      <c r="W1124" s="25"/>
      <c r="X1124" s="26" t="s">
        <v>80</v>
      </c>
      <c r="Y1124" s="25"/>
      <c r="Z1124" s="26" t="s">
        <v>80</v>
      </c>
      <c r="AA1124" s="25"/>
      <c r="AB1124" s="26" t="s">
        <v>80</v>
      </c>
      <c r="AD1124" s="23" t="s">
        <v>2830</v>
      </c>
    </row>
    <row r="1125" spans="1:30" ht="84.95">
      <c r="B1125" s="21" t="s">
        <v>2854</v>
      </c>
      <c r="C1125" s="20"/>
      <c r="D1125" s="21" t="s">
        <v>2851</v>
      </c>
      <c r="E1125" s="20"/>
      <c r="F1125" s="23" t="s">
        <v>123</v>
      </c>
      <c r="H1125" s="21" t="s">
        <v>298</v>
      </c>
      <c r="J1125" s="21" t="s">
        <v>2827</v>
      </c>
      <c r="L1125" s="21" t="s">
        <v>737</v>
      </c>
      <c r="N1125" s="21" t="s">
        <v>103</v>
      </c>
      <c r="P1125" s="21" t="s">
        <v>2855</v>
      </c>
      <c r="R1125" s="21" t="s">
        <v>77</v>
      </c>
      <c r="S1125" s="20"/>
      <c r="T1125" s="24" t="s">
        <v>2853</v>
      </c>
      <c r="V1125" s="26" t="s">
        <v>80</v>
      </c>
      <c r="W1125" s="25"/>
      <c r="X1125" s="26" t="s">
        <v>80</v>
      </c>
      <c r="Y1125" s="25"/>
      <c r="Z1125" s="26" t="s">
        <v>80</v>
      </c>
      <c r="AA1125" s="25"/>
      <c r="AB1125" s="26" t="s">
        <v>80</v>
      </c>
      <c r="AD1125" s="23" t="s">
        <v>2830</v>
      </c>
    </row>
    <row r="1126" spans="1:30" ht="84.95">
      <c r="B1126" s="21" t="s">
        <v>2856</v>
      </c>
      <c r="C1126" s="20"/>
      <c r="D1126" s="21" t="s">
        <v>123</v>
      </c>
      <c r="E1126" s="20"/>
      <c r="F1126" s="23" t="s">
        <v>123</v>
      </c>
      <c r="H1126" s="21" t="s">
        <v>298</v>
      </c>
      <c r="J1126" s="21" t="s">
        <v>2827</v>
      </c>
      <c r="L1126" s="21" t="s">
        <v>737</v>
      </c>
      <c r="N1126" s="21" t="s">
        <v>103</v>
      </c>
      <c r="P1126" s="21" t="s">
        <v>2857</v>
      </c>
      <c r="R1126" s="21" t="s">
        <v>77</v>
      </c>
      <c r="S1126" s="20"/>
      <c r="T1126" s="24" t="s">
        <v>2853</v>
      </c>
      <c r="V1126" s="26" t="s">
        <v>80</v>
      </c>
      <c r="W1126" s="25"/>
      <c r="X1126" s="26" t="s">
        <v>80</v>
      </c>
      <c r="Y1126" s="25"/>
      <c r="Z1126" s="26" t="s">
        <v>80</v>
      </c>
      <c r="AA1126" s="25"/>
      <c r="AB1126" s="26" t="s">
        <v>80</v>
      </c>
      <c r="AD1126" s="23" t="s">
        <v>2830</v>
      </c>
    </row>
    <row r="1127" spans="1:30" ht="84.95">
      <c r="B1127" s="21" t="s">
        <v>2858</v>
      </c>
      <c r="C1127" s="20"/>
      <c r="D1127" s="21" t="s">
        <v>123</v>
      </c>
      <c r="E1127" s="20"/>
      <c r="F1127" s="23" t="s">
        <v>123</v>
      </c>
      <c r="H1127" s="21" t="s">
        <v>298</v>
      </c>
      <c r="J1127" s="21" t="s">
        <v>2827</v>
      </c>
      <c r="L1127" s="21" t="s">
        <v>737</v>
      </c>
      <c r="N1127" s="21" t="s">
        <v>103</v>
      </c>
      <c r="P1127" s="21" t="s">
        <v>2859</v>
      </c>
      <c r="R1127" s="21" t="s">
        <v>77</v>
      </c>
      <c r="S1127" s="20"/>
      <c r="T1127" s="24" t="s">
        <v>2853</v>
      </c>
      <c r="V1127" s="26" t="s">
        <v>80</v>
      </c>
      <c r="W1127" s="25"/>
      <c r="X1127" s="26" t="s">
        <v>80</v>
      </c>
      <c r="Y1127" s="25"/>
      <c r="Z1127" s="26" t="s">
        <v>80</v>
      </c>
      <c r="AA1127" s="25"/>
      <c r="AB1127" s="26" t="s">
        <v>80</v>
      </c>
      <c r="AD1127" s="23" t="s">
        <v>2830</v>
      </c>
    </row>
    <row r="1128" spans="1:30" ht="84.95">
      <c r="B1128" s="21" t="s">
        <v>2860</v>
      </c>
      <c r="C1128" s="20"/>
      <c r="D1128" s="21" t="s">
        <v>123</v>
      </c>
      <c r="E1128" s="20"/>
      <c r="F1128" s="23" t="s">
        <v>123</v>
      </c>
      <c r="H1128" s="21" t="s">
        <v>298</v>
      </c>
      <c r="J1128" s="21" t="s">
        <v>2827</v>
      </c>
      <c r="L1128" s="21" t="s">
        <v>737</v>
      </c>
      <c r="N1128" s="21" t="s">
        <v>103</v>
      </c>
      <c r="P1128" s="21" t="s">
        <v>2861</v>
      </c>
      <c r="R1128" s="21" t="s">
        <v>77</v>
      </c>
      <c r="S1128" s="20"/>
      <c r="T1128" s="24" t="s">
        <v>2853</v>
      </c>
      <c r="V1128" s="26" t="s">
        <v>80</v>
      </c>
      <c r="W1128" s="25"/>
      <c r="X1128" s="26" t="s">
        <v>80</v>
      </c>
      <c r="Y1128" s="25"/>
      <c r="Z1128" s="26" t="s">
        <v>80</v>
      </c>
      <c r="AA1128" s="25"/>
      <c r="AB1128" s="26" t="s">
        <v>80</v>
      </c>
      <c r="AD1128" s="23" t="s">
        <v>2830</v>
      </c>
    </row>
    <row r="1129" spans="1:30" ht="84.95">
      <c r="B1129" s="21" t="s">
        <v>2862</v>
      </c>
      <c r="C1129" s="20"/>
      <c r="D1129" s="21" t="s">
        <v>123</v>
      </c>
      <c r="E1129" s="20"/>
      <c r="F1129" s="23" t="s">
        <v>123</v>
      </c>
      <c r="H1129" s="21" t="s">
        <v>298</v>
      </c>
      <c r="J1129" s="21" t="s">
        <v>2827</v>
      </c>
      <c r="L1129" s="21" t="s">
        <v>737</v>
      </c>
      <c r="N1129" s="21" t="s">
        <v>103</v>
      </c>
      <c r="P1129" s="21" t="s">
        <v>2863</v>
      </c>
      <c r="R1129" s="21" t="s">
        <v>77</v>
      </c>
      <c r="S1129" s="20"/>
      <c r="T1129" s="24" t="s">
        <v>2853</v>
      </c>
      <c r="V1129" s="26" t="s">
        <v>80</v>
      </c>
      <c r="W1129" s="25"/>
      <c r="X1129" s="26" t="s">
        <v>80</v>
      </c>
      <c r="Y1129" s="25"/>
      <c r="Z1129" s="26" t="s">
        <v>80</v>
      </c>
      <c r="AA1129" s="25"/>
      <c r="AB1129" s="26" t="s">
        <v>80</v>
      </c>
      <c r="AD1129" s="23" t="s">
        <v>2830</v>
      </c>
    </row>
    <row r="1130" spans="1:30" ht="84.95">
      <c r="B1130" s="21" t="s">
        <v>2864</v>
      </c>
      <c r="C1130" s="20"/>
      <c r="D1130" s="21" t="s">
        <v>123</v>
      </c>
      <c r="E1130" s="20"/>
      <c r="F1130" s="23" t="s">
        <v>123</v>
      </c>
      <c r="H1130" s="21" t="s">
        <v>298</v>
      </c>
      <c r="J1130" s="21" t="s">
        <v>2827</v>
      </c>
      <c r="L1130" s="21" t="s">
        <v>737</v>
      </c>
      <c r="N1130" s="21" t="s">
        <v>103</v>
      </c>
      <c r="P1130" s="21" t="s">
        <v>2865</v>
      </c>
      <c r="R1130" s="21" t="s">
        <v>77</v>
      </c>
      <c r="S1130" s="20"/>
      <c r="T1130" s="24" t="s">
        <v>2853</v>
      </c>
      <c r="V1130" s="26" t="s">
        <v>80</v>
      </c>
      <c r="W1130" s="25"/>
      <c r="X1130" s="26" t="s">
        <v>80</v>
      </c>
      <c r="Y1130" s="25"/>
      <c r="Z1130" s="26" t="s">
        <v>80</v>
      </c>
      <c r="AA1130" s="25"/>
      <c r="AB1130" s="26" t="s">
        <v>80</v>
      </c>
      <c r="AD1130" s="23" t="s">
        <v>2830</v>
      </c>
    </row>
    <row r="1131" spans="1:30" ht="84.95">
      <c r="B1131" s="21" t="s">
        <v>2866</v>
      </c>
      <c r="C1131" s="20"/>
      <c r="D1131" s="21" t="s">
        <v>123</v>
      </c>
      <c r="E1131" s="20"/>
      <c r="F1131" s="23" t="s">
        <v>123</v>
      </c>
      <c r="H1131" s="21" t="s">
        <v>298</v>
      </c>
      <c r="J1131" s="21" t="s">
        <v>2827</v>
      </c>
      <c r="L1131" s="21" t="s">
        <v>737</v>
      </c>
      <c r="N1131" s="21" t="s">
        <v>103</v>
      </c>
      <c r="P1131" s="21" t="s">
        <v>2867</v>
      </c>
      <c r="R1131" s="21" t="s">
        <v>77</v>
      </c>
      <c r="S1131" s="20"/>
      <c r="T1131" s="24" t="s">
        <v>2853</v>
      </c>
      <c r="V1131" s="26" t="s">
        <v>80</v>
      </c>
      <c r="W1131" s="25"/>
      <c r="X1131" s="26" t="s">
        <v>80</v>
      </c>
      <c r="Y1131" s="25"/>
      <c r="Z1131" s="26" t="s">
        <v>80</v>
      </c>
      <c r="AA1131" s="25"/>
      <c r="AB1131" s="26" t="s">
        <v>80</v>
      </c>
      <c r="AD1131" s="23" t="s">
        <v>2830</v>
      </c>
    </row>
    <row r="1132" spans="1:30" ht="84.95">
      <c r="B1132" s="21" t="s">
        <v>2868</v>
      </c>
      <c r="C1132" s="20"/>
      <c r="D1132" s="21" t="s">
        <v>123</v>
      </c>
      <c r="E1132" s="20"/>
      <c r="F1132" s="23" t="s">
        <v>123</v>
      </c>
      <c r="H1132" s="21" t="s">
        <v>298</v>
      </c>
      <c r="J1132" s="21" t="s">
        <v>2827</v>
      </c>
      <c r="L1132" s="21" t="s">
        <v>737</v>
      </c>
      <c r="N1132" s="21" t="s">
        <v>103</v>
      </c>
      <c r="P1132" s="21" t="s">
        <v>2869</v>
      </c>
      <c r="R1132" s="21" t="s">
        <v>77</v>
      </c>
      <c r="S1132" s="20"/>
      <c r="T1132" s="24" t="s">
        <v>2853</v>
      </c>
      <c r="V1132" s="26" t="s">
        <v>80</v>
      </c>
      <c r="W1132" s="25"/>
      <c r="X1132" s="26" t="s">
        <v>80</v>
      </c>
      <c r="Y1132" s="25"/>
      <c r="Z1132" s="26" t="s">
        <v>80</v>
      </c>
      <c r="AA1132" s="25"/>
      <c r="AB1132" s="26" t="s">
        <v>80</v>
      </c>
      <c r="AD1132" s="23" t="s">
        <v>2830</v>
      </c>
    </row>
    <row r="1133" spans="1:30" ht="84.95">
      <c r="B1133" s="21" t="s">
        <v>2870</v>
      </c>
      <c r="C1133" s="20"/>
      <c r="D1133" s="21" t="s">
        <v>123</v>
      </c>
      <c r="E1133" s="20"/>
      <c r="F1133" s="23" t="s">
        <v>123</v>
      </c>
      <c r="H1133" s="21" t="s">
        <v>298</v>
      </c>
      <c r="J1133" s="21" t="s">
        <v>2827</v>
      </c>
      <c r="L1133" s="21" t="s">
        <v>737</v>
      </c>
      <c r="N1133" s="21" t="s">
        <v>103</v>
      </c>
      <c r="P1133" s="21" t="s">
        <v>2871</v>
      </c>
      <c r="R1133" s="21" t="s">
        <v>77</v>
      </c>
      <c r="S1133" s="20"/>
      <c r="T1133" s="24" t="s">
        <v>2853</v>
      </c>
      <c r="V1133" s="26" t="s">
        <v>80</v>
      </c>
      <c r="W1133" s="25"/>
      <c r="X1133" s="26" t="s">
        <v>80</v>
      </c>
      <c r="Y1133" s="25"/>
      <c r="Z1133" s="26" t="s">
        <v>80</v>
      </c>
      <c r="AA1133" s="25"/>
      <c r="AB1133" s="26" t="s">
        <v>80</v>
      </c>
      <c r="AD1133" s="23" t="s">
        <v>2830</v>
      </c>
    </row>
    <row r="1134" spans="1:30" ht="84.95">
      <c r="B1134" s="21" t="s">
        <v>2872</v>
      </c>
      <c r="C1134" s="20"/>
      <c r="D1134" s="21" t="s">
        <v>123</v>
      </c>
      <c r="E1134" s="20"/>
      <c r="F1134" s="23" t="s">
        <v>123</v>
      </c>
      <c r="H1134" s="21" t="s">
        <v>298</v>
      </c>
      <c r="J1134" s="21" t="s">
        <v>2827</v>
      </c>
      <c r="L1134" s="21" t="s">
        <v>737</v>
      </c>
      <c r="N1134" s="21" t="s">
        <v>103</v>
      </c>
      <c r="P1134" s="21" t="s">
        <v>2873</v>
      </c>
      <c r="R1134" s="21" t="s">
        <v>77</v>
      </c>
      <c r="S1134" s="20"/>
      <c r="T1134" s="24" t="s">
        <v>2853</v>
      </c>
      <c r="V1134" s="26" t="s">
        <v>80</v>
      </c>
      <c r="W1134" s="25"/>
      <c r="X1134" s="26" t="s">
        <v>80</v>
      </c>
      <c r="Y1134" s="25"/>
      <c r="Z1134" s="26" t="s">
        <v>80</v>
      </c>
      <c r="AA1134" s="25"/>
      <c r="AB1134" s="26" t="s">
        <v>80</v>
      </c>
      <c r="AD1134" s="23" t="s">
        <v>2830</v>
      </c>
    </row>
    <row r="1135" spans="1:30" ht="84.95">
      <c r="A1135" s="21"/>
      <c r="B1135" s="21" t="s">
        <v>2874</v>
      </c>
      <c r="C1135" s="20"/>
      <c r="D1135" s="21" t="s">
        <v>2875</v>
      </c>
      <c r="E1135" s="20"/>
      <c r="F1135" s="23" t="s">
        <v>123</v>
      </c>
      <c r="H1135" s="21" t="s">
        <v>77</v>
      </c>
      <c r="J1135" s="21" t="s">
        <v>2827</v>
      </c>
      <c r="L1135" s="21" t="s">
        <v>737</v>
      </c>
      <c r="N1135" s="21" t="s">
        <v>103</v>
      </c>
      <c r="P1135" s="21" t="s">
        <v>2875</v>
      </c>
      <c r="R1135" s="21" t="s">
        <v>77</v>
      </c>
      <c r="S1135" s="20"/>
      <c r="T1135" s="24" t="s">
        <v>2853</v>
      </c>
      <c r="V1135" s="26" t="s">
        <v>80</v>
      </c>
      <c r="W1135" s="25"/>
      <c r="X1135" s="26" t="s">
        <v>80</v>
      </c>
      <c r="Y1135" s="25"/>
      <c r="Z1135" s="26" t="s">
        <v>80</v>
      </c>
      <c r="AA1135" s="25"/>
      <c r="AB1135" s="26" t="s">
        <v>80</v>
      </c>
      <c r="AD1135" s="23" t="s">
        <v>2830</v>
      </c>
    </row>
    <row r="1136" spans="1:30" ht="84.95">
      <c r="A1136" s="21"/>
      <c r="B1136" s="21" t="s">
        <v>2876</v>
      </c>
      <c r="C1136" s="20"/>
      <c r="D1136" s="21" t="s">
        <v>2851</v>
      </c>
      <c r="E1136" s="20"/>
      <c r="F1136" s="23" t="s">
        <v>123</v>
      </c>
      <c r="H1136" s="21" t="s">
        <v>77</v>
      </c>
      <c r="J1136" s="21" t="s">
        <v>2827</v>
      </c>
      <c r="L1136" s="21" t="s">
        <v>737</v>
      </c>
      <c r="N1136" s="21" t="s">
        <v>781</v>
      </c>
      <c r="P1136" s="21" t="s">
        <v>2877</v>
      </c>
      <c r="R1136" s="21" t="s">
        <v>77</v>
      </c>
      <c r="S1136" s="20"/>
      <c r="T1136" s="24" t="s">
        <v>2853</v>
      </c>
      <c r="V1136" s="26" t="s">
        <v>80</v>
      </c>
      <c r="W1136" s="25"/>
      <c r="X1136" s="26" t="s">
        <v>80</v>
      </c>
      <c r="Y1136" s="25"/>
      <c r="Z1136" s="26" t="s">
        <v>80</v>
      </c>
      <c r="AA1136" s="25"/>
      <c r="AB1136" s="26" t="s">
        <v>80</v>
      </c>
      <c r="AD1136" s="23" t="s">
        <v>2830</v>
      </c>
    </row>
    <row r="1137" spans="1:30" ht="306">
      <c r="B1137" s="21" t="s">
        <v>2878</v>
      </c>
      <c r="C1137" s="20"/>
      <c r="D1137" s="21" t="s">
        <v>2879</v>
      </c>
      <c r="E1137" s="20"/>
      <c r="F1137" s="23" t="s">
        <v>123</v>
      </c>
      <c r="H1137" s="21" t="s">
        <v>2880</v>
      </c>
      <c r="J1137" s="21" t="s">
        <v>2827</v>
      </c>
      <c r="L1137" s="21" t="s">
        <v>737</v>
      </c>
      <c r="N1137" s="21" t="s">
        <v>781</v>
      </c>
      <c r="P1137" s="21" t="s">
        <v>2881</v>
      </c>
      <c r="R1137" s="21" t="s">
        <v>77</v>
      </c>
      <c r="S1137" s="20"/>
      <c r="T1137" s="76" t="s">
        <v>2882</v>
      </c>
      <c r="U1137" s="77"/>
      <c r="V1137" s="26" t="s">
        <v>80</v>
      </c>
      <c r="W1137" s="25"/>
      <c r="X1137" s="26" t="s">
        <v>80</v>
      </c>
      <c r="Y1137" s="25"/>
      <c r="Z1137" s="26" t="s">
        <v>80</v>
      </c>
      <c r="AA1137" s="25"/>
      <c r="AB1137" s="26" t="s">
        <v>80</v>
      </c>
      <c r="AD1137" s="23" t="s">
        <v>2830</v>
      </c>
    </row>
    <row r="1138" spans="1:30" ht="288.95">
      <c r="B1138" s="21" t="s">
        <v>2883</v>
      </c>
      <c r="C1138" s="20"/>
      <c r="D1138" s="21" t="s">
        <v>2884</v>
      </c>
      <c r="E1138" s="20"/>
      <c r="F1138" s="23" t="s">
        <v>123</v>
      </c>
      <c r="H1138" s="21" t="s">
        <v>2880</v>
      </c>
      <c r="J1138" s="21" t="s">
        <v>2827</v>
      </c>
      <c r="L1138" s="21" t="s">
        <v>737</v>
      </c>
      <c r="N1138" s="21" t="s">
        <v>781</v>
      </c>
      <c r="P1138" s="21" t="s">
        <v>2885</v>
      </c>
      <c r="R1138" s="21" t="s">
        <v>77</v>
      </c>
      <c r="S1138" s="20"/>
      <c r="T1138" s="58" t="s">
        <v>2882</v>
      </c>
      <c r="V1138" s="26" t="s">
        <v>80</v>
      </c>
      <c r="W1138" s="25"/>
      <c r="X1138" s="26" t="s">
        <v>80</v>
      </c>
      <c r="Y1138" s="25"/>
      <c r="Z1138" s="26" t="s">
        <v>80</v>
      </c>
      <c r="AA1138" s="25"/>
      <c r="AB1138" s="26" t="s">
        <v>80</v>
      </c>
      <c r="AD1138" s="23" t="s">
        <v>2830</v>
      </c>
    </row>
    <row r="1139" spans="1:30" ht="237.95">
      <c r="A1139" s="21"/>
      <c r="B1139" s="21" t="s">
        <v>2886</v>
      </c>
      <c r="C1139" s="20"/>
      <c r="D1139" s="21" t="s">
        <v>2428</v>
      </c>
      <c r="E1139" s="20"/>
      <c r="F1139" s="23" t="s">
        <v>123</v>
      </c>
      <c r="H1139" s="21" t="s">
        <v>2880</v>
      </c>
      <c r="J1139" s="21" t="s">
        <v>2827</v>
      </c>
      <c r="L1139" s="21" t="s">
        <v>737</v>
      </c>
      <c r="N1139" s="21" t="s">
        <v>781</v>
      </c>
      <c r="P1139" s="21" t="s">
        <v>2887</v>
      </c>
      <c r="R1139" s="21" t="s">
        <v>77</v>
      </c>
      <c r="S1139" s="20"/>
      <c r="T1139" s="24" t="s">
        <v>2888</v>
      </c>
      <c r="V1139" s="26" t="s">
        <v>80</v>
      </c>
      <c r="W1139" s="25"/>
      <c r="X1139" s="26" t="s">
        <v>80</v>
      </c>
      <c r="Y1139" s="25"/>
      <c r="Z1139" s="26" t="s">
        <v>80</v>
      </c>
      <c r="AA1139" s="25"/>
      <c r="AB1139" s="26" t="s">
        <v>80</v>
      </c>
      <c r="AD1139" s="23" t="s">
        <v>2830</v>
      </c>
    </row>
    <row r="1140" spans="1:30" ht="68.099999999999994">
      <c r="A1140" s="21"/>
      <c r="B1140" s="21" t="s">
        <v>2889</v>
      </c>
      <c r="C1140" s="20"/>
      <c r="D1140" s="21" t="s">
        <v>2303</v>
      </c>
      <c r="E1140" s="20"/>
      <c r="F1140" s="23" t="s">
        <v>2303</v>
      </c>
      <c r="H1140" s="21" t="s">
        <v>77</v>
      </c>
      <c r="J1140" s="21" t="s">
        <v>2827</v>
      </c>
      <c r="L1140" s="21" t="s">
        <v>737</v>
      </c>
      <c r="N1140" s="21" t="s">
        <v>77</v>
      </c>
      <c r="P1140" s="21" t="s">
        <v>2890</v>
      </c>
      <c r="R1140" s="21" t="s">
        <v>77</v>
      </c>
      <c r="S1140" s="20"/>
      <c r="T1140" s="24" t="s">
        <v>2891</v>
      </c>
      <c r="V1140" s="26" t="s">
        <v>80</v>
      </c>
      <c r="W1140" s="25"/>
      <c r="X1140" s="26" t="s">
        <v>80</v>
      </c>
      <c r="Y1140" s="25"/>
      <c r="Z1140" s="26" t="s">
        <v>80</v>
      </c>
      <c r="AA1140" s="25"/>
      <c r="AB1140" s="26" t="s">
        <v>80</v>
      </c>
      <c r="AD1140" s="23" t="s">
        <v>2830</v>
      </c>
    </row>
    <row r="1141" spans="1:30" ht="68.099999999999994">
      <c r="A1141" s="21"/>
      <c r="B1141" s="21" t="s">
        <v>2892</v>
      </c>
      <c r="C1141" s="20"/>
      <c r="D1141" s="21" t="s">
        <v>2303</v>
      </c>
      <c r="E1141" s="20"/>
      <c r="F1141" s="23" t="s">
        <v>2303</v>
      </c>
      <c r="H1141" s="21" t="s">
        <v>77</v>
      </c>
      <c r="J1141" s="21" t="s">
        <v>2827</v>
      </c>
      <c r="L1141" s="21" t="s">
        <v>737</v>
      </c>
      <c r="N1141" s="21" t="s">
        <v>77</v>
      </c>
      <c r="P1141" s="21" t="s">
        <v>2893</v>
      </c>
      <c r="R1141" s="21" t="s">
        <v>77</v>
      </c>
      <c r="S1141" s="20"/>
      <c r="T1141" s="24" t="s">
        <v>2891</v>
      </c>
      <c r="V1141" s="26" t="s">
        <v>80</v>
      </c>
      <c r="W1141" s="25"/>
      <c r="X1141" s="26" t="s">
        <v>80</v>
      </c>
      <c r="Y1141" s="25"/>
      <c r="Z1141" s="26" t="s">
        <v>80</v>
      </c>
      <c r="AA1141" s="25"/>
      <c r="AB1141" s="26" t="s">
        <v>80</v>
      </c>
      <c r="AD1141" s="23" t="s">
        <v>2830</v>
      </c>
    </row>
    <row r="1142" spans="1:30" ht="51">
      <c r="B1142" s="21" t="s">
        <v>2894</v>
      </c>
      <c r="C1142" s="20"/>
      <c r="D1142" s="21" t="s">
        <v>2303</v>
      </c>
      <c r="E1142" s="20"/>
      <c r="F1142" s="23" t="s">
        <v>2303</v>
      </c>
      <c r="H1142" s="21" t="s">
        <v>2895</v>
      </c>
      <c r="J1142" s="21" t="s">
        <v>2827</v>
      </c>
      <c r="L1142" s="21" t="s">
        <v>737</v>
      </c>
      <c r="N1142" s="21" t="s">
        <v>781</v>
      </c>
      <c r="P1142" s="21" t="s">
        <v>2896</v>
      </c>
      <c r="R1142" s="21" t="s">
        <v>77</v>
      </c>
      <c r="S1142" s="20"/>
      <c r="T1142" s="76" t="s">
        <v>2897</v>
      </c>
      <c r="U1142" s="77"/>
      <c r="V1142" s="26" t="s">
        <v>80</v>
      </c>
      <c r="W1142" s="25"/>
      <c r="X1142" s="26" t="s">
        <v>80</v>
      </c>
      <c r="Y1142" s="25"/>
      <c r="Z1142" s="26" t="s">
        <v>80</v>
      </c>
      <c r="AA1142" s="25"/>
      <c r="AB1142" s="26" t="s">
        <v>80</v>
      </c>
      <c r="AD1142" s="23" t="s">
        <v>2830</v>
      </c>
    </row>
    <row r="1143" spans="1:30" ht="51">
      <c r="A1143" s="21"/>
      <c r="B1143" s="21" t="s">
        <v>2898</v>
      </c>
      <c r="C1143" s="20"/>
      <c r="D1143" s="21" t="s">
        <v>394</v>
      </c>
      <c r="E1143" s="20"/>
      <c r="F1143" s="23" t="s">
        <v>394</v>
      </c>
      <c r="H1143" s="21" t="s">
        <v>77</v>
      </c>
      <c r="J1143" s="21" t="s">
        <v>2827</v>
      </c>
      <c r="L1143" s="21" t="s">
        <v>737</v>
      </c>
      <c r="N1143" s="21" t="s">
        <v>185</v>
      </c>
      <c r="P1143" s="21" t="s">
        <v>2354</v>
      </c>
      <c r="R1143" s="21" t="s">
        <v>77</v>
      </c>
      <c r="S1143" s="20"/>
      <c r="T1143" s="24" t="s">
        <v>2899</v>
      </c>
      <c r="V1143" s="26" t="s">
        <v>80</v>
      </c>
      <c r="W1143" s="25"/>
      <c r="X1143" s="26" t="s">
        <v>80</v>
      </c>
      <c r="Y1143" s="25"/>
      <c r="Z1143" s="26" t="s">
        <v>80</v>
      </c>
      <c r="AA1143" s="25"/>
      <c r="AB1143" s="26" t="s">
        <v>80</v>
      </c>
      <c r="AD1143" s="23" t="s">
        <v>2830</v>
      </c>
    </row>
    <row r="1144" spans="1:30" ht="51">
      <c r="A1144" s="21"/>
      <c r="B1144" s="21" t="s">
        <v>2900</v>
      </c>
      <c r="C1144" s="20"/>
      <c r="D1144" s="21" t="s">
        <v>394</v>
      </c>
      <c r="E1144" s="20"/>
      <c r="F1144" s="23" t="s">
        <v>394</v>
      </c>
      <c r="H1144" s="21" t="s">
        <v>77</v>
      </c>
      <c r="J1144" s="21" t="s">
        <v>2827</v>
      </c>
      <c r="L1144" s="21" t="s">
        <v>737</v>
      </c>
      <c r="N1144" s="21" t="s">
        <v>185</v>
      </c>
      <c r="P1144" s="21" t="s">
        <v>2901</v>
      </c>
      <c r="R1144" s="21" t="s">
        <v>77</v>
      </c>
      <c r="S1144" s="20"/>
      <c r="T1144" s="76" t="s">
        <v>2902</v>
      </c>
      <c r="U1144" s="77"/>
      <c r="V1144" s="26" t="s">
        <v>80</v>
      </c>
      <c r="W1144" s="25"/>
      <c r="X1144" s="26" t="s">
        <v>80</v>
      </c>
      <c r="Y1144" s="25"/>
      <c r="Z1144" s="26" t="s">
        <v>80</v>
      </c>
      <c r="AA1144" s="25"/>
      <c r="AB1144" s="26" t="s">
        <v>80</v>
      </c>
      <c r="AD1144" s="23" t="s">
        <v>2830</v>
      </c>
    </row>
    <row r="1145" spans="1:30" ht="51">
      <c r="A1145" s="21"/>
      <c r="B1145" s="21" t="s">
        <v>2903</v>
      </c>
      <c r="C1145" s="20"/>
      <c r="D1145" s="21" t="s">
        <v>370</v>
      </c>
      <c r="E1145" s="20"/>
      <c r="F1145" s="23" t="s">
        <v>370</v>
      </c>
      <c r="H1145" s="21" t="s">
        <v>77</v>
      </c>
      <c r="J1145" s="21" t="s">
        <v>2827</v>
      </c>
      <c r="L1145" s="21" t="s">
        <v>737</v>
      </c>
      <c r="N1145" s="21" t="s">
        <v>185</v>
      </c>
      <c r="P1145" s="21" t="s">
        <v>2904</v>
      </c>
      <c r="R1145" s="21" t="s">
        <v>77</v>
      </c>
      <c r="S1145" s="20"/>
      <c r="T1145" s="24" t="s">
        <v>2905</v>
      </c>
      <c r="V1145" s="26" t="s">
        <v>80</v>
      </c>
      <c r="W1145" s="25"/>
      <c r="X1145" s="26" t="s">
        <v>80</v>
      </c>
      <c r="Y1145" s="25"/>
      <c r="Z1145" s="26" t="s">
        <v>80</v>
      </c>
      <c r="AA1145" s="25"/>
      <c r="AB1145" s="26" t="s">
        <v>80</v>
      </c>
      <c r="AD1145" s="23" t="s">
        <v>2830</v>
      </c>
    </row>
    <row r="1146" spans="1:30" ht="51">
      <c r="A1146" s="21"/>
      <c r="B1146" s="21" t="s">
        <v>2906</v>
      </c>
      <c r="C1146" s="20"/>
      <c r="D1146" s="21" t="s">
        <v>2907</v>
      </c>
      <c r="E1146" s="20"/>
      <c r="F1146" s="23" t="s">
        <v>363</v>
      </c>
      <c r="H1146" s="21" t="s">
        <v>77</v>
      </c>
      <c r="J1146" s="21" t="s">
        <v>2827</v>
      </c>
      <c r="L1146" s="21" t="s">
        <v>737</v>
      </c>
      <c r="N1146" s="21" t="s">
        <v>185</v>
      </c>
      <c r="P1146" s="21" t="s">
        <v>2908</v>
      </c>
      <c r="R1146" s="21" t="s">
        <v>77</v>
      </c>
      <c r="S1146" s="20"/>
      <c r="T1146" s="24" t="s">
        <v>2909</v>
      </c>
      <c r="V1146" s="26" t="s">
        <v>80</v>
      </c>
      <c r="W1146" s="25"/>
      <c r="X1146" s="26" t="s">
        <v>80</v>
      </c>
      <c r="Y1146" s="25"/>
      <c r="Z1146" s="26" t="s">
        <v>80</v>
      </c>
      <c r="AA1146" s="25"/>
      <c r="AB1146" s="26" t="s">
        <v>80</v>
      </c>
      <c r="AD1146" s="23" t="s">
        <v>2830</v>
      </c>
    </row>
    <row r="1147" spans="1:30" ht="51">
      <c r="A1147" s="21"/>
      <c r="B1147" s="21" t="s">
        <v>2910</v>
      </c>
      <c r="C1147" s="20"/>
      <c r="D1147" s="21" t="s">
        <v>77</v>
      </c>
      <c r="E1147" s="20"/>
      <c r="F1147" s="23" t="s">
        <v>658</v>
      </c>
      <c r="H1147" s="21" t="s">
        <v>77</v>
      </c>
      <c r="J1147" s="21" t="s">
        <v>2827</v>
      </c>
      <c r="L1147" s="21" t="s">
        <v>737</v>
      </c>
      <c r="N1147" s="21" t="s">
        <v>185</v>
      </c>
      <c r="P1147" s="21" t="s">
        <v>2911</v>
      </c>
      <c r="R1147" s="21" t="s">
        <v>77</v>
      </c>
      <c r="S1147" s="20"/>
      <c r="T1147" s="76" t="s">
        <v>2912</v>
      </c>
      <c r="U1147" s="77"/>
      <c r="V1147" s="26" t="s">
        <v>80</v>
      </c>
      <c r="W1147" s="25"/>
      <c r="X1147" s="26" t="s">
        <v>80</v>
      </c>
      <c r="Y1147" s="25"/>
      <c r="Z1147" s="26" t="s">
        <v>80</v>
      </c>
      <c r="AA1147" s="25"/>
      <c r="AB1147" s="26" t="s">
        <v>80</v>
      </c>
      <c r="AD1147" s="23" t="s">
        <v>2830</v>
      </c>
    </row>
    <row r="1148" spans="1:30" ht="204">
      <c r="B1148" s="21" t="s">
        <v>2913</v>
      </c>
      <c r="C1148" s="20"/>
      <c r="D1148" s="21" t="s">
        <v>2914</v>
      </c>
      <c r="E1148" s="20"/>
      <c r="F1148" s="23" t="s">
        <v>221</v>
      </c>
      <c r="H1148" s="21" t="s">
        <v>2880</v>
      </c>
      <c r="J1148" s="21" t="s">
        <v>2827</v>
      </c>
      <c r="L1148" s="21" t="s">
        <v>737</v>
      </c>
      <c r="N1148" s="21" t="s">
        <v>781</v>
      </c>
      <c r="P1148" s="21" t="s">
        <v>2915</v>
      </c>
      <c r="R1148" s="21" t="s">
        <v>77</v>
      </c>
      <c r="S1148" s="20"/>
      <c r="T1148" s="76" t="s">
        <v>2916</v>
      </c>
      <c r="U1148" s="77"/>
      <c r="V1148" s="26" t="s">
        <v>80</v>
      </c>
      <c r="W1148" s="25"/>
      <c r="X1148" s="26" t="s">
        <v>80</v>
      </c>
      <c r="Y1148" s="25"/>
      <c r="Z1148" s="26" t="s">
        <v>80</v>
      </c>
      <c r="AA1148" s="25"/>
      <c r="AB1148" s="26" t="s">
        <v>80</v>
      </c>
      <c r="AD1148" s="23" t="s">
        <v>2830</v>
      </c>
    </row>
    <row r="1149" spans="1:30" ht="84.95">
      <c r="A1149" s="21"/>
      <c r="B1149" s="21" t="s">
        <v>2917</v>
      </c>
      <c r="C1149" s="20"/>
      <c r="D1149" s="21" t="s">
        <v>209</v>
      </c>
      <c r="E1149" s="20"/>
      <c r="F1149" s="23" t="s">
        <v>254</v>
      </c>
      <c r="H1149" s="21" t="s">
        <v>77</v>
      </c>
      <c r="J1149" s="21" t="s">
        <v>2827</v>
      </c>
      <c r="L1149" s="21" t="s">
        <v>737</v>
      </c>
      <c r="N1149" s="21" t="s">
        <v>103</v>
      </c>
      <c r="P1149" s="21" t="s">
        <v>2918</v>
      </c>
      <c r="R1149" s="21" t="s">
        <v>77</v>
      </c>
      <c r="S1149" s="20"/>
      <c r="T1149" s="24" t="s">
        <v>2829</v>
      </c>
      <c r="V1149" s="26" t="s">
        <v>80</v>
      </c>
      <c r="W1149" s="25"/>
      <c r="X1149" s="26" t="s">
        <v>80</v>
      </c>
      <c r="Y1149" s="25"/>
      <c r="Z1149" s="26" t="s">
        <v>80</v>
      </c>
      <c r="AA1149" s="25"/>
      <c r="AB1149" s="26" t="s">
        <v>80</v>
      </c>
      <c r="AD1149" s="23" t="s">
        <v>2830</v>
      </c>
    </row>
    <row r="1150" spans="1:30" ht="84.95">
      <c r="B1150" s="21" t="s">
        <v>2919</v>
      </c>
      <c r="C1150" s="20"/>
      <c r="D1150" s="21" t="s">
        <v>209</v>
      </c>
      <c r="E1150" s="20"/>
      <c r="F1150" s="23" t="s">
        <v>254</v>
      </c>
      <c r="H1150" s="21" t="s">
        <v>291</v>
      </c>
      <c r="J1150" s="21" t="s">
        <v>2827</v>
      </c>
      <c r="L1150" s="21" t="s">
        <v>737</v>
      </c>
      <c r="N1150" s="21" t="s">
        <v>185</v>
      </c>
      <c r="P1150" s="21" t="s">
        <v>2920</v>
      </c>
      <c r="R1150" s="21" t="s">
        <v>77</v>
      </c>
      <c r="S1150" s="20"/>
      <c r="T1150" s="24" t="s">
        <v>2829</v>
      </c>
      <c r="V1150" s="26" t="s">
        <v>80</v>
      </c>
      <c r="W1150" s="25"/>
      <c r="X1150" s="26" t="s">
        <v>80</v>
      </c>
      <c r="Y1150" s="25"/>
      <c r="Z1150" s="26" t="s">
        <v>80</v>
      </c>
      <c r="AA1150" s="25"/>
      <c r="AB1150" s="26" t="s">
        <v>80</v>
      </c>
      <c r="AD1150" s="23" t="s">
        <v>2830</v>
      </c>
    </row>
    <row r="1151" spans="1:30" ht="68.099999999999994">
      <c r="A1151" s="21"/>
      <c r="B1151" s="21" t="s">
        <v>2921</v>
      </c>
      <c r="C1151" s="20"/>
      <c r="D1151" s="21" t="s">
        <v>486</v>
      </c>
      <c r="E1151" s="20"/>
      <c r="F1151" s="23" t="s">
        <v>254</v>
      </c>
      <c r="H1151" s="21" t="s">
        <v>77</v>
      </c>
      <c r="J1151" s="21" t="s">
        <v>2827</v>
      </c>
      <c r="L1151" s="21" t="s">
        <v>737</v>
      </c>
      <c r="N1151" s="21" t="s">
        <v>77</v>
      </c>
      <c r="P1151" s="21" t="s">
        <v>2922</v>
      </c>
      <c r="R1151" s="21" t="s">
        <v>77</v>
      </c>
      <c r="S1151" s="20"/>
      <c r="T1151" s="24" t="s">
        <v>2923</v>
      </c>
      <c r="V1151" s="26" t="s">
        <v>80</v>
      </c>
      <c r="W1151" s="25"/>
      <c r="X1151" s="26" t="s">
        <v>80</v>
      </c>
      <c r="Y1151" s="25"/>
      <c r="Z1151" s="26" t="s">
        <v>80</v>
      </c>
      <c r="AA1151" s="25"/>
      <c r="AB1151" s="26" t="s">
        <v>80</v>
      </c>
      <c r="AD1151" s="23" t="s">
        <v>2830</v>
      </c>
    </row>
    <row r="1152" spans="1:30" ht="68.099999999999994">
      <c r="A1152" s="21"/>
      <c r="B1152" s="21" t="s">
        <v>2924</v>
      </c>
      <c r="C1152" s="20"/>
      <c r="D1152" s="21" t="s">
        <v>486</v>
      </c>
      <c r="E1152" s="20"/>
      <c r="F1152" s="23" t="s">
        <v>254</v>
      </c>
      <c r="H1152" s="21" t="s">
        <v>77</v>
      </c>
      <c r="J1152" s="21" t="s">
        <v>2827</v>
      </c>
      <c r="L1152" s="21" t="s">
        <v>737</v>
      </c>
      <c r="N1152" s="21" t="s">
        <v>77</v>
      </c>
      <c r="P1152" s="21" t="s">
        <v>2925</v>
      </c>
      <c r="R1152" s="21" t="s">
        <v>77</v>
      </c>
      <c r="S1152" s="20"/>
      <c r="T1152" s="24" t="s">
        <v>2923</v>
      </c>
      <c r="V1152" s="26" t="s">
        <v>80</v>
      </c>
      <c r="W1152" s="25"/>
      <c r="X1152" s="26" t="s">
        <v>80</v>
      </c>
      <c r="Y1152" s="25"/>
      <c r="Z1152" s="26" t="s">
        <v>80</v>
      </c>
      <c r="AA1152" s="25"/>
      <c r="AB1152" s="26" t="s">
        <v>80</v>
      </c>
      <c r="AD1152" s="23" t="s">
        <v>2830</v>
      </c>
    </row>
    <row r="1153" spans="1:30" ht="68.099999999999994">
      <c r="A1153" s="21"/>
      <c r="B1153" s="21" t="s">
        <v>2926</v>
      </c>
      <c r="C1153" s="20"/>
      <c r="D1153" s="21" t="s">
        <v>2836</v>
      </c>
      <c r="E1153" s="20"/>
      <c r="F1153" s="23" t="s">
        <v>254</v>
      </c>
      <c r="H1153" s="21" t="s">
        <v>364</v>
      </c>
      <c r="J1153" s="21" t="s">
        <v>2827</v>
      </c>
      <c r="L1153" s="21" t="s">
        <v>737</v>
      </c>
      <c r="N1153" s="21" t="s">
        <v>77</v>
      </c>
      <c r="P1153" s="21" t="s">
        <v>2927</v>
      </c>
      <c r="R1153" s="21" t="s">
        <v>77</v>
      </c>
      <c r="S1153" s="20"/>
      <c r="T1153" s="24" t="s">
        <v>2923</v>
      </c>
      <c r="V1153" s="26" t="s">
        <v>80</v>
      </c>
      <c r="W1153" s="25"/>
      <c r="X1153" s="26" t="s">
        <v>80</v>
      </c>
      <c r="Y1153" s="25"/>
      <c r="Z1153" s="26" t="s">
        <v>80</v>
      </c>
      <c r="AA1153" s="25"/>
      <c r="AB1153" s="26" t="s">
        <v>80</v>
      </c>
      <c r="AD1153" s="23" t="s">
        <v>2830</v>
      </c>
    </row>
    <row r="1154" spans="1:30" ht="68.099999999999994">
      <c r="B1154" s="21" t="s">
        <v>2928</v>
      </c>
      <c r="C1154" s="20"/>
      <c r="D1154" s="21" t="s">
        <v>362</v>
      </c>
      <c r="E1154" s="20"/>
      <c r="F1154" s="23" t="s">
        <v>363</v>
      </c>
      <c r="H1154" s="21" t="s">
        <v>177</v>
      </c>
      <c r="J1154" s="21" t="s">
        <v>2827</v>
      </c>
      <c r="L1154" s="21" t="s">
        <v>737</v>
      </c>
      <c r="N1154" s="21" t="s">
        <v>185</v>
      </c>
      <c r="P1154" s="21" t="s">
        <v>2929</v>
      </c>
      <c r="R1154" s="21" t="s">
        <v>77</v>
      </c>
      <c r="S1154" s="20"/>
      <c r="T1154" s="24" t="s">
        <v>2923</v>
      </c>
      <c r="V1154" s="26" t="s">
        <v>80</v>
      </c>
      <c r="W1154" s="25"/>
      <c r="X1154" s="26" t="s">
        <v>80</v>
      </c>
      <c r="Y1154" s="25"/>
      <c r="Z1154" s="26" t="s">
        <v>80</v>
      </c>
      <c r="AA1154" s="25"/>
      <c r="AB1154" s="26" t="s">
        <v>80</v>
      </c>
      <c r="AD1154" s="23" t="s">
        <v>2830</v>
      </c>
    </row>
    <row r="1155" spans="1:30" ht="68.099999999999994">
      <c r="A1155" s="21"/>
      <c r="B1155" s="21" t="s">
        <v>2930</v>
      </c>
      <c r="C1155" s="20"/>
      <c r="D1155" s="21" t="s">
        <v>2851</v>
      </c>
      <c r="E1155" s="20"/>
      <c r="F1155" s="23" t="s">
        <v>123</v>
      </c>
      <c r="H1155" s="21" t="s">
        <v>2931</v>
      </c>
      <c r="J1155" s="21" t="s">
        <v>2827</v>
      </c>
      <c r="L1155" s="21" t="s">
        <v>737</v>
      </c>
      <c r="N1155" s="21" t="s">
        <v>185</v>
      </c>
      <c r="P1155" s="21" t="s">
        <v>2932</v>
      </c>
      <c r="R1155" s="21" t="s">
        <v>77</v>
      </c>
      <c r="S1155" s="20"/>
      <c r="T1155" s="24" t="s">
        <v>2923</v>
      </c>
      <c r="V1155" s="26" t="s">
        <v>80</v>
      </c>
      <c r="W1155" s="25"/>
      <c r="X1155" s="26" t="s">
        <v>80</v>
      </c>
      <c r="Y1155" s="25"/>
      <c r="Z1155" s="26" t="s">
        <v>80</v>
      </c>
      <c r="AA1155" s="25"/>
      <c r="AB1155" s="26" t="s">
        <v>80</v>
      </c>
      <c r="AD1155" s="23" t="s">
        <v>2830</v>
      </c>
    </row>
    <row r="1156" spans="1:30" ht="68.099999999999994">
      <c r="A1156" s="21"/>
      <c r="B1156" s="21" t="s">
        <v>2933</v>
      </c>
      <c r="C1156" s="20"/>
      <c r="D1156" s="21" t="s">
        <v>2934</v>
      </c>
      <c r="E1156" s="20"/>
      <c r="F1156" s="23" t="s">
        <v>123</v>
      </c>
      <c r="H1156" s="21" t="s">
        <v>298</v>
      </c>
      <c r="J1156" s="21" t="s">
        <v>2827</v>
      </c>
      <c r="L1156" s="21" t="s">
        <v>737</v>
      </c>
      <c r="N1156" s="21" t="s">
        <v>185</v>
      </c>
      <c r="P1156" s="21" t="s">
        <v>2935</v>
      </c>
      <c r="R1156" s="21" t="s">
        <v>77</v>
      </c>
      <c r="S1156" s="20"/>
      <c r="T1156" s="24" t="s">
        <v>2923</v>
      </c>
      <c r="V1156" s="26" t="s">
        <v>80</v>
      </c>
      <c r="W1156" s="25"/>
      <c r="X1156" s="26" t="s">
        <v>80</v>
      </c>
      <c r="Y1156" s="25"/>
      <c r="Z1156" s="26" t="s">
        <v>80</v>
      </c>
      <c r="AA1156" s="25"/>
      <c r="AB1156" s="26" t="s">
        <v>80</v>
      </c>
      <c r="AD1156" s="23" t="s">
        <v>2936</v>
      </c>
    </row>
    <row r="1157" spans="1:30" ht="68.099999999999994">
      <c r="A1157" s="21"/>
      <c r="B1157" s="21" t="s">
        <v>2937</v>
      </c>
      <c r="C1157" s="20"/>
      <c r="D1157" s="21" t="s">
        <v>2934</v>
      </c>
      <c r="E1157" s="20"/>
      <c r="F1157" s="23" t="s">
        <v>123</v>
      </c>
      <c r="H1157" s="21" t="s">
        <v>298</v>
      </c>
      <c r="J1157" s="21" t="s">
        <v>2827</v>
      </c>
      <c r="L1157" s="21" t="s">
        <v>737</v>
      </c>
      <c r="N1157" s="21" t="s">
        <v>185</v>
      </c>
      <c r="P1157" s="21" t="s">
        <v>2938</v>
      </c>
      <c r="R1157" s="21" t="s">
        <v>77</v>
      </c>
      <c r="S1157" s="20"/>
      <c r="T1157" s="24" t="s">
        <v>2923</v>
      </c>
      <c r="V1157" s="26" t="s">
        <v>80</v>
      </c>
      <c r="W1157" s="25"/>
      <c r="X1157" s="26" t="s">
        <v>80</v>
      </c>
      <c r="Y1157" s="25"/>
      <c r="Z1157" s="26" t="s">
        <v>80</v>
      </c>
      <c r="AA1157" s="25"/>
      <c r="AB1157" s="26" t="s">
        <v>80</v>
      </c>
      <c r="AD1157" s="23" t="s">
        <v>2830</v>
      </c>
    </row>
    <row r="1158" spans="1:30" ht="68.099999999999994">
      <c r="A1158" s="21"/>
      <c r="B1158" s="21" t="s">
        <v>2939</v>
      </c>
      <c r="C1158" s="20"/>
      <c r="D1158" s="21" t="s">
        <v>2934</v>
      </c>
      <c r="E1158" s="20"/>
      <c r="F1158" s="23" t="s">
        <v>123</v>
      </c>
      <c r="H1158" s="21" t="s">
        <v>298</v>
      </c>
      <c r="J1158" s="21" t="s">
        <v>2827</v>
      </c>
      <c r="L1158" s="21" t="s">
        <v>737</v>
      </c>
      <c r="N1158" s="21" t="s">
        <v>185</v>
      </c>
      <c r="P1158" s="21" t="s">
        <v>2940</v>
      </c>
      <c r="R1158" s="21" t="s">
        <v>77</v>
      </c>
      <c r="S1158" s="20"/>
      <c r="T1158" s="24" t="s">
        <v>2923</v>
      </c>
      <c r="V1158" s="26" t="s">
        <v>80</v>
      </c>
      <c r="W1158" s="25"/>
      <c r="X1158" s="26" t="s">
        <v>80</v>
      </c>
      <c r="Y1158" s="25"/>
      <c r="Z1158" s="26" t="s">
        <v>80</v>
      </c>
      <c r="AA1158" s="25"/>
      <c r="AB1158" s="26" t="s">
        <v>80</v>
      </c>
      <c r="AD1158" s="23" t="s">
        <v>2830</v>
      </c>
    </row>
    <row r="1159" spans="1:30" ht="68.099999999999994">
      <c r="A1159" s="21"/>
      <c r="B1159" s="21" t="s">
        <v>2941</v>
      </c>
      <c r="C1159" s="20"/>
      <c r="D1159" s="21" t="s">
        <v>2934</v>
      </c>
      <c r="E1159" s="20"/>
      <c r="F1159" s="23" t="s">
        <v>123</v>
      </c>
      <c r="H1159" s="21" t="s">
        <v>298</v>
      </c>
      <c r="J1159" s="21" t="s">
        <v>2827</v>
      </c>
      <c r="L1159" s="21" t="s">
        <v>737</v>
      </c>
      <c r="N1159" s="21" t="s">
        <v>185</v>
      </c>
      <c r="P1159" s="21" t="s">
        <v>2942</v>
      </c>
      <c r="R1159" s="21" t="s">
        <v>77</v>
      </c>
      <c r="S1159" s="20"/>
      <c r="T1159" s="24" t="s">
        <v>2923</v>
      </c>
      <c r="V1159" s="26" t="s">
        <v>80</v>
      </c>
      <c r="W1159" s="25"/>
      <c r="X1159" s="26" t="s">
        <v>80</v>
      </c>
      <c r="Y1159" s="25"/>
      <c r="Z1159" s="26" t="s">
        <v>80</v>
      </c>
      <c r="AA1159" s="25"/>
      <c r="AB1159" s="26" t="s">
        <v>80</v>
      </c>
      <c r="AD1159" s="23" t="s">
        <v>2830</v>
      </c>
    </row>
    <row r="1160" spans="1:30" ht="68.099999999999994">
      <c r="A1160" s="21"/>
      <c r="B1160" s="21" t="s">
        <v>2943</v>
      </c>
      <c r="C1160" s="20"/>
      <c r="D1160" s="21" t="s">
        <v>2944</v>
      </c>
      <c r="E1160" s="20"/>
      <c r="F1160" s="23" t="s">
        <v>123</v>
      </c>
      <c r="H1160" s="21" t="s">
        <v>298</v>
      </c>
      <c r="J1160" s="21" t="s">
        <v>2827</v>
      </c>
      <c r="L1160" s="21" t="s">
        <v>737</v>
      </c>
      <c r="N1160" s="21" t="s">
        <v>77</v>
      </c>
      <c r="P1160" s="21" t="s">
        <v>2945</v>
      </c>
      <c r="R1160" s="21" t="s">
        <v>77</v>
      </c>
      <c r="S1160" s="20"/>
      <c r="T1160" s="24" t="s">
        <v>2923</v>
      </c>
      <c r="V1160" s="26" t="s">
        <v>80</v>
      </c>
      <c r="W1160" s="25"/>
      <c r="X1160" s="26" t="s">
        <v>80</v>
      </c>
      <c r="Y1160" s="25"/>
      <c r="Z1160" s="26" t="s">
        <v>80</v>
      </c>
      <c r="AA1160" s="25"/>
      <c r="AB1160" s="26" t="s">
        <v>80</v>
      </c>
      <c r="AD1160" s="23" t="s">
        <v>2830</v>
      </c>
    </row>
    <row r="1161" spans="1:30" ht="68.099999999999994">
      <c r="B1161" s="21" t="s">
        <v>2946</v>
      </c>
      <c r="C1161" s="20"/>
      <c r="D1161" s="21" t="s">
        <v>2947</v>
      </c>
      <c r="E1161" s="20"/>
      <c r="F1161" s="23" t="s">
        <v>123</v>
      </c>
      <c r="H1161" s="21" t="s">
        <v>298</v>
      </c>
      <c r="J1161" s="21" t="s">
        <v>2827</v>
      </c>
      <c r="L1161" s="21" t="s">
        <v>737</v>
      </c>
      <c r="N1161" s="21" t="s">
        <v>103</v>
      </c>
      <c r="P1161" s="21" t="s">
        <v>2948</v>
      </c>
      <c r="R1161" s="21" t="s">
        <v>77</v>
      </c>
      <c r="S1161" s="20"/>
      <c r="T1161" s="24" t="s">
        <v>2923</v>
      </c>
      <c r="V1161" s="26" t="s">
        <v>80</v>
      </c>
      <c r="W1161" s="25"/>
      <c r="X1161" s="26" t="s">
        <v>80</v>
      </c>
      <c r="Y1161" s="25"/>
      <c r="Z1161" s="26" t="s">
        <v>80</v>
      </c>
      <c r="AA1161" s="25"/>
      <c r="AB1161" s="26" t="s">
        <v>80</v>
      </c>
      <c r="AD1161" s="23" t="s">
        <v>2830</v>
      </c>
    </row>
    <row r="1162" spans="1:30" ht="68.099999999999994">
      <c r="B1162" s="21" t="s">
        <v>2949</v>
      </c>
      <c r="C1162" s="20"/>
      <c r="D1162" s="21" t="s">
        <v>2947</v>
      </c>
      <c r="E1162" s="20"/>
      <c r="F1162" s="23" t="s">
        <v>123</v>
      </c>
      <c r="H1162" s="21" t="s">
        <v>298</v>
      </c>
      <c r="J1162" s="21" t="s">
        <v>2827</v>
      </c>
      <c r="L1162" s="21" t="s">
        <v>737</v>
      </c>
      <c r="N1162" s="21" t="s">
        <v>103</v>
      </c>
      <c r="P1162" s="21" t="s">
        <v>2950</v>
      </c>
      <c r="R1162" s="21" t="s">
        <v>77</v>
      </c>
      <c r="S1162" s="20"/>
      <c r="T1162" s="24" t="s">
        <v>2923</v>
      </c>
      <c r="V1162" s="26" t="s">
        <v>80</v>
      </c>
      <c r="W1162" s="25"/>
      <c r="X1162" s="26" t="s">
        <v>80</v>
      </c>
      <c r="Y1162" s="25"/>
      <c r="Z1162" s="26" t="s">
        <v>80</v>
      </c>
      <c r="AA1162" s="25"/>
      <c r="AB1162" s="26" t="s">
        <v>80</v>
      </c>
      <c r="AD1162" s="23" t="s">
        <v>2830</v>
      </c>
    </row>
    <row r="1163" spans="1:30" ht="68.099999999999994">
      <c r="B1163" s="21" t="s">
        <v>2951</v>
      </c>
      <c r="C1163" s="20"/>
      <c r="D1163" s="21" t="s">
        <v>2947</v>
      </c>
      <c r="E1163" s="20"/>
      <c r="F1163" s="23" t="s">
        <v>123</v>
      </c>
      <c r="H1163" s="21" t="s">
        <v>298</v>
      </c>
      <c r="J1163" s="21" t="s">
        <v>2827</v>
      </c>
      <c r="L1163" s="21" t="s">
        <v>737</v>
      </c>
      <c r="N1163" s="21" t="s">
        <v>103</v>
      </c>
      <c r="P1163" s="21" t="s">
        <v>2952</v>
      </c>
      <c r="R1163" s="21" t="s">
        <v>77</v>
      </c>
      <c r="S1163" s="20"/>
      <c r="T1163" s="24" t="s">
        <v>2923</v>
      </c>
      <c r="V1163" s="26" t="s">
        <v>80</v>
      </c>
      <c r="W1163" s="25"/>
      <c r="X1163" s="26" t="s">
        <v>80</v>
      </c>
      <c r="Y1163" s="25"/>
      <c r="Z1163" s="26" t="s">
        <v>80</v>
      </c>
      <c r="AA1163" s="25"/>
      <c r="AB1163" s="26" t="s">
        <v>80</v>
      </c>
      <c r="AD1163" s="23" t="s">
        <v>2830</v>
      </c>
    </row>
    <row r="1164" spans="1:30" ht="68.099999999999994">
      <c r="B1164" s="21" t="s">
        <v>2953</v>
      </c>
      <c r="C1164" s="20"/>
      <c r="D1164" s="21" t="s">
        <v>2947</v>
      </c>
      <c r="E1164" s="20"/>
      <c r="F1164" s="23" t="s">
        <v>123</v>
      </c>
      <c r="H1164" s="21" t="s">
        <v>298</v>
      </c>
      <c r="J1164" s="21" t="s">
        <v>2827</v>
      </c>
      <c r="L1164" s="21" t="s">
        <v>737</v>
      </c>
      <c r="N1164" s="21" t="s">
        <v>103</v>
      </c>
      <c r="P1164" s="21" t="s">
        <v>2954</v>
      </c>
      <c r="R1164" s="21" t="s">
        <v>77</v>
      </c>
      <c r="S1164" s="20"/>
      <c r="T1164" s="24" t="s">
        <v>2923</v>
      </c>
      <c r="V1164" s="26" t="s">
        <v>80</v>
      </c>
      <c r="W1164" s="25"/>
      <c r="X1164" s="26" t="s">
        <v>80</v>
      </c>
      <c r="Y1164" s="25"/>
      <c r="Z1164" s="26" t="s">
        <v>80</v>
      </c>
      <c r="AA1164" s="25"/>
      <c r="AB1164" s="26" t="s">
        <v>80</v>
      </c>
      <c r="AD1164" s="23" t="s">
        <v>2830</v>
      </c>
    </row>
    <row r="1165" spans="1:30" ht="84.95">
      <c r="B1165" s="21" t="s">
        <v>2955</v>
      </c>
      <c r="C1165" s="20"/>
      <c r="D1165" s="21" t="s">
        <v>209</v>
      </c>
      <c r="E1165" s="20"/>
      <c r="F1165" s="23" t="s">
        <v>254</v>
      </c>
      <c r="H1165" s="21" t="s">
        <v>291</v>
      </c>
      <c r="J1165" s="21" t="s">
        <v>2827</v>
      </c>
      <c r="L1165" s="21" t="s">
        <v>737</v>
      </c>
      <c r="N1165" s="21" t="s">
        <v>185</v>
      </c>
      <c r="P1165" s="21" t="s">
        <v>2956</v>
      </c>
      <c r="R1165" s="21" t="s">
        <v>77</v>
      </c>
      <c r="S1165" s="20"/>
      <c r="T1165" s="24" t="s">
        <v>2829</v>
      </c>
      <c r="V1165" s="26" t="s">
        <v>80</v>
      </c>
      <c r="W1165" s="25"/>
      <c r="X1165" s="26" t="s">
        <v>80</v>
      </c>
      <c r="Y1165" s="25"/>
      <c r="Z1165" s="26" t="s">
        <v>80</v>
      </c>
      <c r="AA1165" s="25"/>
      <c r="AB1165" s="23" t="s">
        <v>662</v>
      </c>
      <c r="AD1165" s="23" t="s">
        <v>2830</v>
      </c>
    </row>
    <row r="1166" spans="1:30" ht="84.95">
      <c r="B1166" s="21" t="s">
        <v>2957</v>
      </c>
      <c r="C1166" s="20"/>
      <c r="D1166" s="21" t="s">
        <v>486</v>
      </c>
      <c r="E1166" s="20"/>
      <c r="F1166" s="23" t="s">
        <v>254</v>
      </c>
      <c r="H1166" s="21" t="s">
        <v>291</v>
      </c>
      <c r="J1166" s="21" t="s">
        <v>2827</v>
      </c>
      <c r="L1166" s="21" t="s">
        <v>737</v>
      </c>
      <c r="N1166" s="21" t="s">
        <v>185</v>
      </c>
      <c r="P1166" s="21" t="s">
        <v>2958</v>
      </c>
      <c r="R1166" s="21" t="s">
        <v>77</v>
      </c>
      <c r="S1166" s="20"/>
      <c r="T1166" s="24" t="s">
        <v>2829</v>
      </c>
      <c r="V1166" s="26" t="s">
        <v>80</v>
      </c>
      <c r="W1166" s="25"/>
      <c r="X1166" s="26" t="s">
        <v>80</v>
      </c>
      <c r="Y1166" s="25"/>
      <c r="Z1166" s="26" t="s">
        <v>80</v>
      </c>
      <c r="AA1166" s="25"/>
      <c r="AB1166" s="23" t="s">
        <v>2959</v>
      </c>
      <c r="AD1166" s="23" t="s">
        <v>2830</v>
      </c>
    </row>
    <row r="1167" spans="1:30" ht="84.95">
      <c r="B1167" s="21" t="s">
        <v>2960</v>
      </c>
      <c r="C1167" s="20"/>
      <c r="D1167" s="21" t="s">
        <v>486</v>
      </c>
      <c r="E1167" s="20"/>
      <c r="F1167" s="23" t="s">
        <v>254</v>
      </c>
      <c r="H1167" s="21" t="s">
        <v>291</v>
      </c>
      <c r="J1167" s="21" t="s">
        <v>2827</v>
      </c>
      <c r="L1167" s="21" t="s">
        <v>737</v>
      </c>
      <c r="N1167" s="21" t="s">
        <v>185</v>
      </c>
      <c r="P1167" s="21" t="s">
        <v>2961</v>
      </c>
      <c r="R1167" s="21" t="s">
        <v>77</v>
      </c>
      <c r="S1167" s="20"/>
      <c r="T1167" s="24" t="s">
        <v>2829</v>
      </c>
      <c r="V1167" s="26" t="s">
        <v>80</v>
      </c>
      <c r="W1167" s="25"/>
      <c r="X1167" s="26" t="s">
        <v>80</v>
      </c>
      <c r="Y1167" s="25"/>
      <c r="Z1167" s="26" t="s">
        <v>80</v>
      </c>
      <c r="AA1167" s="25"/>
      <c r="AB1167" s="23" t="s">
        <v>2959</v>
      </c>
      <c r="AD1167" s="23" t="s">
        <v>2830</v>
      </c>
    </row>
    <row r="1168" spans="1:30" ht="84.95">
      <c r="B1168" s="21" t="s">
        <v>2962</v>
      </c>
      <c r="C1168" s="20"/>
      <c r="D1168" s="21" t="s">
        <v>486</v>
      </c>
      <c r="E1168" s="20"/>
      <c r="F1168" s="23" t="s">
        <v>254</v>
      </c>
      <c r="H1168" s="21" t="s">
        <v>291</v>
      </c>
      <c r="J1168" s="21" t="s">
        <v>2827</v>
      </c>
      <c r="L1168" s="21" t="s">
        <v>737</v>
      </c>
      <c r="N1168" s="21" t="s">
        <v>185</v>
      </c>
      <c r="P1168" s="21" t="s">
        <v>2963</v>
      </c>
      <c r="R1168" s="21" t="s">
        <v>77</v>
      </c>
      <c r="S1168" s="20"/>
      <c r="T1168" s="24" t="s">
        <v>2829</v>
      </c>
      <c r="V1168" s="26" t="s">
        <v>80</v>
      </c>
      <c r="W1168" s="25"/>
      <c r="X1168" s="26" t="s">
        <v>80</v>
      </c>
      <c r="Y1168" s="25"/>
      <c r="Z1168" s="26" t="s">
        <v>80</v>
      </c>
      <c r="AA1168" s="25"/>
      <c r="AB1168" s="23" t="s">
        <v>2959</v>
      </c>
      <c r="AD1168" s="23" t="s">
        <v>2830</v>
      </c>
    </row>
    <row r="1169" spans="1:30" ht="84.95">
      <c r="B1169" s="21" t="s">
        <v>2964</v>
      </c>
      <c r="C1169" s="20"/>
      <c r="D1169" s="21" t="s">
        <v>486</v>
      </c>
      <c r="E1169" s="20"/>
      <c r="F1169" s="23" t="s">
        <v>254</v>
      </c>
      <c r="H1169" s="21" t="s">
        <v>291</v>
      </c>
      <c r="J1169" s="21" t="s">
        <v>2827</v>
      </c>
      <c r="L1169" s="21" t="s">
        <v>737</v>
      </c>
      <c r="N1169" s="21" t="s">
        <v>185</v>
      </c>
      <c r="P1169" s="21" t="s">
        <v>2965</v>
      </c>
      <c r="R1169" s="21" t="s">
        <v>77</v>
      </c>
      <c r="S1169" s="20"/>
      <c r="T1169" s="24" t="s">
        <v>2829</v>
      </c>
      <c r="V1169" s="26" t="s">
        <v>80</v>
      </c>
      <c r="W1169" s="25"/>
      <c r="X1169" s="26" t="s">
        <v>80</v>
      </c>
      <c r="Y1169" s="25"/>
      <c r="Z1169" s="26" t="s">
        <v>80</v>
      </c>
      <c r="AA1169" s="25"/>
      <c r="AB1169" s="23" t="s">
        <v>2959</v>
      </c>
      <c r="AD1169" s="23" t="s">
        <v>2830</v>
      </c>
    </row>
    <row r="1170" spans="1:30" ht="75.95" customHeight="1">
      <c r="B1170" s="21" t="s">
        <v>2966</v>
      </c>
      <c r="C1170" s="20"/>
      <c r="D1170" s="21" t="s">
        <v>71</v>
      </c>
      <c r="E1170" s="20"/>
      <c r="F1170" s="23" t="s">
        <v>71</v>
      </c>
      <c r="H1170" s="21" t="s">
        <v>291</v>
      </c>
      <c r="J1170" s="21" t="s">
        <v>2827</v>
      </c>
      <c r="L1170" s="21" t="s">
        <v>737</v>
      </c>
      <c r="N1170" s="21" t="s">
        <v>185</v>
      </c>
      <c r="P1170" s="21" t="s">
        <v>2967</v>
      </c>
      <c r="R1170" s="21" t="s">
        <v>77</v>
      </c>
      <c r="S1170" s="20"/>
      <c r="T1170" s="24" t="s">
        <v>2968</v>
      </c>
      <c r="V1170" s="26" t="s">
        <v>80</v>
      </c>
      <c r="W1170" s="25"/>
      <c r="X1170" s="26" t="s">
        <v>80</v>
      </c>
      <c r="Y1170" s="25"/>
      <c r="Z1170" s="26" t="s">
        <v>80</v>
      </c>
      <c r="AA1170" s="25"/>
      <c r="AB1170" s="23" t="s">
        <v>662</v>
      </c>
      <c r="AD1170" s="23" t="s">
        <v>2830</v>
      </c>
    </row>
    <row r="1171" spans="1:30" ht="84.95">
      <c r="B1171" s="21" t="s">
        <v>2969</v>
      </c>
      <c r="C1171" s="20"/>
      <c r="D1171" s="21" t="s">
        <v>2303</v>
      </c>
      <c r="E1171" s="20"/>
      <c r="F1171" s="23" t="s">
        <v>2303</v>
      </c>
      <c r="H1171" s="21" t="s">
        <v>2970</v>
      </c>
      <c r="J1171" s="21" t="s">
        <v>2827</v>
      </c>
      <c r="L1171" s="21" t="s">
        <v>737</v>
      </c>
      <c r="N1171" s="21" t="s">
        <v>781</v>
      </c>
      <c r="P1171" s="21" t="s">
        <v>2971</v>
      </c>
      <c r="R1171" s="21" t="s">
        <v>77</v>
      </c>
      <c r="S1171" s="20"/>
      <c r="T1171" s="76" t="s">
        <v>2972</v>
      </c>
      <c r="U1171" s="77"/>
      <c r="V1171" s="26" t="s">
        <v>79</v>
      </c>
      <c r="W1171" s="25"/>
      <c r="X1171" s="26" t="s">
        <v>80</v>
      </c>
      <c r="Y1171" s="85"/>
      <c r="Z1171" s="26" t="s">
        <v>80</v>
      </c>
      <c r="AA1171" s="25"/>
      <c r="AB1171" s="26" t="s">
        <v>80</v>
      </c>
      <c r="AD1171" s="23" t="s">
        <v>2973</v>
      </c>
    </row>
    <row r="1172" spans="1:30" ht="84.95">
      <c r="B1172" s="21" t="s">
        <v>2974</v>
      </c>
      <c r="C1172" s="20"/>
      <c r="D1172" s="21" t="s">
        <v>2975</v>
      </c>
      <c r="E1172" s="20"/>
      <c r="F1172" s="23" t="s">
        <v>402</v>
      </c>
      <c r="H1172" s="21" t="s">
        <v>666</v>
      </c>
      <c r="J1172" s="21" t="s">
        <v>2827</v>
      </c>
      <c r="L1172" s="21" t="s">
        <v>737</v>
      </c>
      <c r="N1172" s="21" t="s">
        <v>781</v>
      </c>
      <c r="P1172" s="21" t="s">
        <v>2976</v>
      </c>
      <c r="R1172" s="21" t="s">
        <v>77</v>
      </c>
      <c r="S1172" s="20"/>
      <c r="T1172" s="76" t="s">
        <v>2977</v>
      </c>
      <c r="U1172" s="77"/>
      <c r="V1172" s="26" t="s">
        <v>79</v>
      </c>
      <c r="W1172" s="25"/>
      <c r="X1172" s="26" t="s">
        <v>79</v>
      </c>
      <c r="Y1172" s="85"/>
      <c r="Z1172" s="26" t="s">
        <v>80</v>
      </c>
      <c r="AA1172" s="25"/>
      <c r="AB1172" s="23" t="s">
        <v>662</v>
      </c>
      <c r="AD1172" s="23" t="s">
        <v>2978</v>
      </c>
    </row>
    <row r="1173" spans="1:30" ht="84.95">
      <c r="B1173" s="21" t="s">
        <v>2979</v>
      </c>
      <c r="C1173" s="20"/>
      <c r="D1173" s="21" t="s">
        <v>2975</v>
      </c>
      <c r="E1173" s="20"/>
      <c r="F1173" s="23" t="s">
        <v>402</v>
      </c>
      <c r="H1173" s="21" t="s">
        <v>666</v>
      </c>
      <c r="J1173" s="21" t="s">
        <v>2827</v>
      </c>
      <c r="L1173" s="21" t="s">
        <v>737</v>
      </c>
      <c r="N1173" s="21" t="s">
        <v>781</v>
      </c>
      <c r="P1173" s="21" t="s">
        <v>2980</v>
      </c>
      <c r="R1173" s="21" t="s">
        <v>77</v>
      </c>
      <c r="S1173" s="20"/>
      <c r="T1173" s="76" t="s">
        <v>2981</v>
      </c>
      <c r="U1173" s="77"/>
      <c r="V1173" s="26" t="s">
        <v>79</v>
      </c>
      <c r="W1173" s="25"/>
      <c r="X1173" s="26" t="s">
        <v>79</v>
      </c>
      <c r="Y1173" s="85"/>
      <c r="Z1173" s="26" t="s">
        <v>80</v>
      </c>
      <c r="AA1173" s="25"/>
      <c r="AB1173" s="23" t="s">
        <v>662</v>
      </c>
      <c r="AD1173" s="23" t="s">
        <v>2982</v>
      </c>
    </row>
    <row r="1174" spans="1:30" ht="84.95">
      <c r="A1174" s="21"/>
      <c r="B1174" s="21" t="s">
        <v>2983</v>
      </c>
      <c r="C1174" s="20"/>
      <c r="D1174" s="21" t="s">
        <v>115</v>
      </c>
      <c r="E1174" s="21"/>
      <c r="F1174" s="23" t="s">
        <v>115</v>
      </c>
      <c r="H1174" s="21" t="s">
        <v>116</v>
      </c>
      <c r="J1174" s="21" t="s">
        <v>2827</v>
      </c>
      <c r="L1174" s="21" t="s">
        <v>737</v>
      </c>
      <c r="N1174" s="21" t="s">
        <v>781</v>
      </c>
      <c r="P1174" s="21" t="s">
        <v>2984</v>
      </c>
      <c r="R1174" s="21" t="s">
        <v>77</v>
      </c>
      <c r="S1174" s="20"/>
      <c r="T1174" s="76" t="s">
        <v>2985</v>
      </c>
      <c r="U1174" s="77"/>
      <c r="V1174" s="26" t="s">
        <v>79</v>
      </c>
      <c r="W1174" s="25"/>
      <c r="X1174" s="26" t="s">
        <v>79</v>
      </c>
      <c r="Y1174" s="85"/>
      <c r="Z1174" s="26" t="s">
        <v>80</v>
      </c>
      <c r="AA1174" s="25"/>
      <c r="AB1174" s="26" t="s">
        <v>80</v>
      </c>
      <c r="AD1174" s="23" t="s">
        <v>2986</v>
      </c>
    </row>
    <row r="1175" spans="1:30" ht="221.1">
      <c r="B1175" s="21" t="s">
        <v>2987</v>
      </c>
      <c r="C1175" s="20"/>
      <c r="D1175" s="21" t="s">
        <v>658</v>
      </c>
      <c r="E1175" s="20"/>
      <c r="F1175" s="23" t="s">
        <v>658</v>
      </c>
      <c r="H1175" s="21" t="s">
        <v>2988</v>
      </c>
      <c r="J1175" s="21" t="s">
        <v>2827</v>
      </c>
      <c r="L1175" s="21" t="s">
        <v>737</v>
      </c>
      <c r="N1175" s="21" t="s">
        <v>781</v>
      </c>
      <c r="P1175" s="21" t="s">
        <v>2989</v>
      </c>
      <c r="R1175" s="21" t="s">
        <v>77</v>
      </c>
      <c r="S1175" s="20"/>
      <c r="T1175" s="76" t="s">
        <v>2990</v>
      </c>
      <c r="U1175" s="77"/>
      <c r="V1175" s="26" t="s">
        <v>79</v>
      </c>
      <c r="W1175" s="25"/>
      <c r="X1175" s="26" t="s">
        <v>79</v>
      </c>
      <c r="Y1175" s="85"/>
      <c r="Z1175" s="26" t="s">
        <v>80</v>
      </c>
      <c r="AA1175" s="25"/>
      <c r="AB1175" s="23" t="s">
        <v>2991</v>
      </c>
      <c r="AD1175" s="23" t="s">
        <v>2992</v>
      </c>
    </row>
    <row r="1176" spans="1:30" ht="68.099999999999994">
      <c r="A1176" s="21"/>
      <c r="B1176" s="21" t="s">
        <v>2993</v>
      </c>
      <c r="C1176" s="20"/>
      <c r="D1176" s="21" t="s">
        <v>2975</v>
      </c>
      <c r="E1176" s="20"/>
      <c r="F1176" s="23" t="s">
        <v>402</v>
      </c>
      <c r="H1176" s="21" t="s">
        <v>177</v>
      </c>
      <c r="J1176" s="21" t="s">
        <v>2827</v>
      </c>
      <c r="L1176" s="21" t="s">
        <v>737</v>
      </c>
      <c r="N1176" s="21" t="s">
        <v>781</v>
      </c>
      <c r="P1176" s="21" t="s">
        <v>2994</v>
      </c>
      <c r="R1176" s="21" t="s">
        <v>77</v>
      </c>
      <c r="S1176" s="20"/>
      <c r="T1176" s="76" t="s">
        <v>2995</v>
      </c>
      <c r="U1176" s="77"/>
      <c r="V1176" s="26" t="s">
        <v>79</v>
      </c>
      <c r="W1176" s="25"/>
      <c r="X1176" s="26" t="s">
        <v>79</v>
      </c>
      <c r="Y1176" s="85"/>
      <c r="Z1176" s="26" t="s">
        <v>80</v>
      </c>
      <c r="AA1176" s="25"/>
      <c r="AB1176" s="26" t="s">
        <v>80</v>
      </c>
      <c r="AD1176" s="23" t="s">
        <v>2996</v>
      </c>
    </row>
    <row r="1177" spans="1:30" ht="68.099999999999994">
      <c r="A1177" s="21"/>
      <c r="B1177" s="21" t="s">
        <v>2997</v>
      </c>
      <c r="C1177" s="20"/>
      <c r="D1177" s="21" t="s">
        <v>115</v>
      </c>
      <c r="E1177" s="21"/>
      <c r="F1177" s="23" t="s">
        <v>115</v>
      </c>
      <c r="H1177" s="21" t="s">
        <v>2125</v>
      </c>
      <c r="J1177" s="21" t="s">
        <v>2827</v>
      </c>
      <c r="L1177" s="21" t="s">
        <v>737</v>
      </c>
      <c r="N1177" s="21" t="s">
        <v>781</v>
      </c>
      <c r="P1177" s="21" t="s">
        <v>2998</v>
      </c>
      <c r="R1177" s="21" t="s">
        <v>77</v>
      </c>
      <c r="S1177" s="20"/>
      <c r="T1177" s="76" t="s">
        <v>2999</v>
      </c>
      <c r="U1177" s="77"/>
      <c r="V1177" s="26" t="s">
        <v>79</v>
      </c>
      <c r="W1177" s="25"/>
      <c r="X1177" s="26" t="s">
        <v>79</v>
      </c>
      <c r="Y1177" s="85"/>
      <c r="Z1177" s="26" t="s">
        <v>80</v>
      </c>
      <c r="AA1177" s="25"/>
      <c r="AB1177" s="23" t="s">
        <v>3000</v>
      </c>
      <c r="AD1177" s="23" t="s">
        <v>3001</v>
      </c>
    </row>
    <row r="1178" spans="1:30" ht="68.099999999999994">
      <c r="A1178" s="21"/>
      <c r="B1178" s="21" t="s">
        <v>3002</v>
      </c>
      <c r="C1178" s="20"/>
      <c r="D1178" s="21" t="s">
        <v>2975</v>
      </c>
      <c r="E1178" s="20"/>
      <c r="F1178" s="23" t="s">
        <v>402</v>
      </c>
      <c r="H1178" s="21" t="s">
        <v>291</v>
      </c>
      <c r="J1178" s="21" t="s">
        <v>2827</v>
      </c>
      <c r="L1178" s="21" t="s">
        <v>737</v>
      </c>
      <c r="N1178" s="21" t="s">
        <v>781</v>
      </c>
      <c r="P1178" s="21" t="s">
        <v>3003</v>
      </c>
      <c r="R1178" s="21" t="s">
        <v>77</v>
      </c>
      <c r="S1178" s="20"/>
      <c r="T1178" s="76" t="s">
        <v>3004</v>
      </c>
      <c r="U1178" s="77"/>
      <c r="V1178" s="26" t="s">
        <v>79</v>
      </c>
      <c r="W1178" s="25"/>
      <c r="X1178" s="26" t="s">
        <v>79</v>
      </c>
      <c r="Y1178" s="85"/>
      <c r="Z1178" s="26" t="s">
        <v>80</v>
      </c>
      <c r="AA1178" s="25"/>
      <c r="AB1178" s="23" t="s">
        <v>80</v>
      </c>
      <c r="AD1178" s="23" t="s">
        <v>3005</v>
      </c>
    </row>
    <row r="1179" spans="1:30" ht="33.950000000000003">
      <c r="B1179" s="21" t="s">
        <v>3006</v>
      </c>
      <c r="C1179" s="20"/>
      <c r="D1179" s="21" t="s">
        <v>486</v>
      </c>
      <c r="E1179" s="20"/>
      <c r="F1179" s="23" t="s">
        <v>254</v>
      </c>
      <c r="H1179" s="21" t="s">
        <v>291</v>
      </c>
      <c r="J1179" s="21" t="s">
        <v>2827</v>
      </c>
      <c r="L1179" s="21" t="s">
        <v>737</v>
      </c>
      <c r="N1179" s="21" t="s">
        <v>781</v>
      </c>
      <c r="P1179" s="21" t="s">
        <v>3007</v>
      </c>
      <c r="R1179" s="21" t="s">
        <v>77</v>
      </c>
      <c r="S1179" s="20"/>
      <c r="T1179" s="94" t="s">
        <v>77</v>
      </c>
      <c r="U1179" s="77"/>
      <c r="V1179" s="26" t="s">
        <v>79</v>
      </c>
      <c r="W1179" s="25"/>
      <c r="X1179" s="26" t="s">
        <v>79</v>
      </c>
      <c r="Y1179" s="85"/>
      <c r="Z1179" s="26" t="s">
        <v>80</v>
      </c>
      <c r="AA1179" s="25"/>
      <c r="AB1179" s="26" t="s">
        <v>80</v>
      </c>
      <c r="AD1179" s="23" t="s">
        <v>3008</v>
      </c>
    </row>
    <row r="1180" spans="1:30" ht="68.099999999999994">
      <c r="B1180" s="21" t="s">
        <v>3009</v>
      </c>
      <c r="C1180" s="20"/>
      <c r="D1180" s="21" t="s">
        <v>2975</v>
      </c>
      <c r="E1180" s="20"/>
      <c r="F1180" s="23" t="s">
        <v>402</v>
      </c>
      <c r="H1180" s="21" t="s">
        <v>72</v>
      </c>
      <c r="J1180" s="21" t="s">
        <v>2827</v>
      </c>
      <c r="L1180" s="21" t="s">
        <v>737</v>
      </c>
      <c r="N1180" s="21" t="s">
        <v>781</v>
      </c>
      <c r="P1180" s="21" t="s">
        <v>3010</v>
      </c>
      <c r="R1180" s="21" t="s">
        <v>77</v>
      </c>
      <c r="S1180" s="20"/>
      <c r="T1180" s="76" t="s">
        <v>3011</v>
      </c>
      <c r="U1180" s="77"/>
      <c r="V1180" s="26" t="s">
        <v>79</v>
      </c>
      <c r="W1180" s="25"/>
      <c r="X1180" s="26" t="s">
        <v>79</v>
      </c>
      <c r="Y1180" s="85"/>
      <c r="Z1180" s="26" t="s">
        <v>80</v>
      </c>
      <c r="AA1180" s="25"/>
      <c r="AB1180" s="23" t="s">
        <v>2328</v>
      </c>
      <c r="AD1180" s="23" t="s">
        <v>3012</v>
      </c>
    </row>
    <row r="1181" spans="1:30" ht="68.099999999999994">
      <c r="B1181" s="21" t="s">
        <v>3013</v>
      </c>
      <c r="C1181" s="20"/>
      <c r="D1181" s="21" t="s">
        <v>2975</v>
      </c>
      <c r="E1181" s="20"/>
      <c r="F1181" s="23" t="s">
        <v>402</v>
      </c>
      <c r="H1181" s="21" t="s">
        <v>291</v>
      </c>
      <c r="J1181" s="21" t="s">
        <v>3014</v>
      </c>
      <c r="L1181" s="21" t="s">
        <v>737</v>
      </c>
      <c r="N1181" s="21" t="s">
        <v>3015</v>
      </c>
      <c r="P1181" s="21" t="s">
        <v>3016</v>
      </c>
      <c r="R1181" s="21" t="s">
        <v>77</v>
      </c>
      <c r="S1181" s="20"/>
      <c r="T1181" s="76" t="s">
        <v>3017</v>
      </c>
      <c r="U1181" s="77"/>
      <c r="V1181" s="26" t="s">
        <v>79</v>
      </c>
      <c r="W1181" s="25"/>
      <c r="X1181" s="26" t="s">
        <v>79</v>
      </c>
      <c r="Y1181" s="85"/>
      <c r="Z1181" s="26" t="s">
        <v>80</v>
      </c>
      <c r="AA1181" s="25"/>
      <c r="AB1181" s="23" t="s">
        <v>80</v>
      </c>
      <c r="AD1181" s="23" t="s">
        <v>3018</v>
      </c>
    </row>
    <row r="1182" spans="1:30" ht="68.099999999999994">
      <c r="B1182" s="21" t="s">
        <v>3019</v>
      </c>
      <c r="C1182" s="20"/>
      <c r="D1182" s="21" t="s">
        <v>2975</v>
      </c>
      <c r="E1182" s="20"/>
      <c r="F1182" s="23" t="s">
        <v>402</v>
      </c>
      <c r="H1182" s="21" t="s">
        <v>3020</v>
      </c>
      <c r="J1182" s="21" t="s">
        <v>3014</v>
      </c>
      <c r="L1182" s="21" t="s">
        <v>737</v>
      </c>
      <c r="N1182" s="21" t="s">
        <v>96</v>
      </c>
      <c r="P1182" s="21" t="s">
        <v>3021</v>
      </c>
      <c r="R1182" s="21" t="s">
        <v>77</v>
      </c>
      <c r="S1182" s="20"/>
      <c r="T1182" s="76" t="s">
        <v>3017</v>
      </c>
      <c r="U1182" s="77"/>
      <c r="V1182" s="26" t="s">
        <v>79</v>
      </c>
      <c r="W1182" s="25"/>
      <c r="X1182" s="26" t="s">
        <v>79</v>
      </c>
      <c r="Y1182" s="85"/>
      <c r="Z1182" s="26" t="s">
        <v>80</v>
      </c>
      <c r="AA1182" s="25"/>
      <c r="AB1182" s="23" t="s">
        <v>2328</v>
      </c>
      <c r="AD1182" s="23" t="s">
        <v>3022</v>
      </c>
    </row>
    <row r="1183" spans="1:30" ht="102">
      <c r="B1183" s="21" t="s">
        <v>3023</v>
      </c>
      <c r="C1183" s="20"/>
      <c r="D1183" s="21" t="s">
        <v>3024</v>
      </c>
      <c r="E1183" s="20"/>
      <c r="F1183" s="23" t="s">
        <v>658</v>
      </c>
      <c r="H1183" s="21" t="s">
        <v>291</v>
      </c>
      <c r="J1183" s="21" t="s">
        <v>3014</v>
      </c>
      <c r="L1183" s="21" t="s">
        <v>737</v>
      </c>
      <c r="N1183" s="21" t="s">
        <v>3015</v>
      </c>
      <c r="P1183" s="21" t="s">
        <v>3025</v>
      </c>
      <c r="R1183" s="21" t="s">
        <v>77</v>
      </c>
      <c r="S1183" s="20"/>
      <c r="T1183" s="76" t="s">
        <v>3017</v>
      </c>
      <c r="U1183" s="77"/>
      <c r="V1183" s="26" t="s">
        <v>79</v>
      </c>
      <c r="W1183" s="25"/>
      <c r="X1183" s="26" t="s">
        <v>79</v>
      </c>
      <c r="Y1183" s="85"/>
      <c r="Z1183" s="26" t="s">
        <v>80</v>
      </c>
      <c r="AA1183" s="25"/>
      <c r="AB1183" s="23" t="s">
        <v>80</v>
      </c>
      <c r="AD1183" s="23" t="s">
        <v>3026</v>
      </c>
    </row>
    <row r="1184" spans="1:30" ht="119.1">
      <c r="B1184" s="21" t="s">
        <v>3027</v>
      </c>
      <c r="C1184" s="20"/>
      <c r="D1184" s="21" t="s">
        <v>3028</v>
      </c>
      <c r="E1184" s="20"/>
      <c r="F1184" s="23" t="s">
        <v>3029</v>
      </c>
      <c r="H1184" s="21" t="s">
        <v>291</v>
      </c>
      <c r="J1184" s="21" t="s">
        <v>3014</v>
      </c>
      <c r="L1184" s="21" t="s">
        <v>737</v>
      </c>
      <c r="N1184" s="21" t="s">
        <v>3030</v>
      </c>
      <c r="P1184" s="21" t="s">
        <v>3031</v>
      </c>
      <c r="R1184" s="21" t="s">
        <v>77</v>
      </c>
      <c r="S1184" s="20"/>
      <c r="T1184" s="76" t="s">
        <v>3017</v>
      </c>
      <c r="U1184" s="77"/>
      <c r="V1184" s="26" t="s">
        <v>79</v>
      </c>
      <c r="W1184" s="25"/>
      <c r="X1184" s="26" t="s">
        <v>79</v>
      </c>
      <c r="Y1184" s="85"/>
      <c r="Z1184" s="26" t="s">
        <v>80</v>
      </c>
      <c r="AA1184" s="25"/>
      <c r="AB1184" s="23" t="s">
        <v>80</v>
      </c>
      <c r="AD1184" s="23" t="s">
        <v>3032</v>
      </c>
    </row>
    <row r="1185" spans="1:30" ht="68.099999999999994">
      <c r="A1185" s="21"/>
      <c r="B1185" s="23" t="s">
        <v>3033</v>
      </c>
      <c r="C1185" s="103"/>
      <c r="D1185" s="23" t="s">
        <v>586</v>
      </c>
      <c r="E1185" s="103"/>
      <c r="F1185" s="23" t="s">
        <v>254</v>
      </c>
      <c r="G1185" s="103"/>
      <c r="H1185" s="23" t="s">
        <v>291</v>
      </c>
      <c r="I1185" s="103"/>
      <c r="J1185" s="23" t="s">
        <v>365</v>
      </c>
      <c r="K1185" s="103"/>
      <c r="L1185" s="23" t="s">
        <v>737</v>
      </c>
      <c r="M1185" s="103"/>
      <c r="N1185" s="23" t="s">
        <v>178</v>
      </c>
      <c r="O1185" s="103"/>
      <c r="P1185" s="23" t="s">
        <v>3034</v>
      </c>
      <c r="Q1185" s="60"/>
      <c r="R1185" s="21" t="s">
        <v>77</v>
      </c>
      <c r="S1185" s="60"/>
      <c r="T1185" s="58" t="s">
        <v>3035</v>
      </c>
      <c r="U1185" s="104"/>
      <c r="V1185" s="71" t="s">
        <v>79</v>
      </c>
      <c r="W1185" s="105"/>
      <c r="X1185" s="71" t="s">
        <v>80</v>
      </c>
      <c r="Y1185" s="105"/>
      <c r="Z1185" s="71" t="s">
        <v>80</v>
      </c>
      <c r="AA1185" s="105"/>
      <c r="AB1185" s="72" t="s">
        <v>3036</v>
      </c>
      <c r="AD1185" s="72" t="s">
        <v>3037</v>
      </c>
    </row>
    <row r="1186" spans="1:30" ht="102">
      <c r="B1186" s="23" t="s">
        <v>3038</v>
      </c>
      <c r="C1186" s="103"/>
      <c r="D1186" s="23" t="s">
        <v>3039</v>
      </c>
      <c r="E1186" s="103"/>
      <c r="F1186" s="23" t="s">
        <v>254</v>
      </c>
      <c r="G1186" s="103"/>
      <c r="H1186" s="23" t="s">
        <v>291</v>
      </c>
      <c r="I1186" s="103"/>
      <c r="J1186" s="23" t="s">
        <v>587</v>
      </c>
      <c r="K1186" s="103"/>
      <c r="L1186" s="23" t="s">
        <v>737</v>
      </c>
      <c r="M1186" s="103"/>
      <c r="N1186" s="23" t="s">
        <v>103</v>
      </c>
      <c r="O1186" s="103"/>
      <c r="P1186" s="23" t="s">
        <v>3040</v>
      </c>
      <c r="Q1186" s="60"/>
      <c r="R1186" s="21" t="s">
        <v>77</v>
      </c>
      <c r="S1186" s="60"/>
      <c r="T1186" s="58" t="s">
        <v>3041</v>
      </c>
      <c r="V1186" s="26" t="s">
        <v>79</v>
      </c>
      <c r="W1186" s="28"/>
      <c r="X1186" s="26" t="s">
        <v>79</v>
      </c>
      <c r="Z1186" s="26" t="s">
        <v>80</v>
      </c>
      <c r="AA1186" s="28"/>
      <c r="AB1186" s="26" t="s">
        <v>80</v>
      </c>
      <c r="AD1186" s="23" t="s">
        <v>3042</v>
      </c>
    </row>
    <row r="1187" spans="1:30" ht="204">
      <c r="B1187" s="21" t="s">
        <v>3043</v>
      </c>
      <c r="C1187" s="20" t="s">
        <v>998</v>
      </c>
      <c r="D1187" s="21" t="s">
        <v>3044</v>
      </c>
      <c r="E1187" s="20" t="s">
        <v>998</v>
      </c>
      <c r="F1187" s="23" t="s">
        <v>363</v>
      </c>
      <c r="G1187" s="20" t="s">
        <v>998</v>
      </c>
      <c r="H1187" s="21" t="s">
        <v>291</v>
      </c>
      <c r="I1187" s="20" t="s">
        <v>998</v>
      </c>
      <c r="J1187" s="21" t="s">
        <v>306</v>
      </c>
      <c r="K1187" s="20" t="s">
        <v>998</v>
      </c>
      <c r="L1187" s="21" t="s">
        <v>737</v>
      </c>
      <c r="M1187" s="20" t="s">
        <v>998</v>
      </c>
      <c r="N1187" s="21" t="s">
        <v>202</v>
      </c>
      <c r="O1187" s="20" t="s">
        <v>998</v>
      </c>
      <c r="P1187" s="21" t="s">
        <v>3045</v>
      </c>
      <c r="Q1187" s="20" t="s">
        <v>998</v>
      </c>
      <c r="R1187" s="21" t="s">
        <v>77</v>
      </c>
      <c r="S1187" s="20" t="s">
        <v>998</v>
      </c>
      <c r="T1187" s="76" t="s">
        <v>3046</v>
      </c>
      <c r="V1187" s="26" t="s">
        <v>79</v>
      </c>
      <c r="W1187" s="28"/>
      <c r="X1187" s="26" t="s">
        <v>79</v>
      </c>
      <c r="Z1187" s="26" t="s">
        <v>80</v>
      </c>
      <c r="AA1187" s="20"/>
      <c r="AB1187" s="72" t="s">
        <v>92</v>
      </c>
      <c r="AC1187" s="20"/>
      <c r="AD1187" s="106" t="s">
        <v>3047</v>
      </c>
    </row>
    <row r="1188" spans="1:30" ht="102">
      <c r="B1188" s="21" t="s">
        <v>3048</v>
      </c>
      <c r="C1188" s="20"/>
      <c r="D1188" s="21" t="s">
        <v>3049</v>
      </c>
      <c r="E1188" s="20" t="s">
        <v>998</v>
      </c>
      <c r="F1188" s="23" t="s">
        <v>363</v>
      </c>
      <c r="G1188" s="20" t="s">
        <v>998</v>
      </c>
      <c r="H1188" s="21" t="s">
        <v>291</v>
      </c>
      <c r="I1188" s="20" t="s">
        <v>998</v>
      </c>
      <c r="J1188" s="21" t="s">
        <v>306</v>
      </c>
      <c r="K1188" s="20" t="s">
        <v>998</v>
      </c>
      <c r="L1188" s="21" t="s">
        <v>737</v>
      </c>
      <c r="M1188" s="20" t="s">
        <v>998</v>
      </c>
      <c r="N1188" s="21" t="s">
        <v>202</v>
      </c>
      <c r="O1188" s="20" t="s">
        <v>998</v>
      </c>
      <c r="P1188" s="21" t="s">
        <v>3050</v>
      </c>
      <c r="Q1188" s="20" t="s">
        <v>998</v>
      </c>
      <c r="R1188" s="21" t="s">
        <v>77</v>
      </c>
      <c r="S1188" s="20" t="s">
        <v>998</v>
      </c>
      <c r="T1188" s="76" t="s">
        <v>3051</v>
      </c>
      <c r="V1188" s="26" t="s">
        <v>79</v>
      </c>
      <c r="W1188" s="28"/>
      <c r="X1188" s="26" t="s">
        <v>79</v>
      </c>
      <c r="Z1188" s="26" t="s">
        <v>80</v>
      </c>
      <c r="AA1188" s="20"/>
      <c r="AB1188" s="72" t="s">
        <v>80</v>
      </c>
      <c r="AC1188" s="20"/>
      <c r="AD1188" s="106" t="s">
        <v>3052</v>
      </c>
    </row>
    <row r="1189" spans="1:30" ht="84.95">
      <c r="B1189" s="21" t="s">
        <v>3053</v>
      </c>
      <c r="C1189" s="20" t="s">
        <v>998</v>
      </c>
      <c r="D1189" s="21" t="s">
        <v>3054</v>
      </c>
      <c r="E1189" s="20" t="s">
        <v>998</v>
      </c>
      <c r="F1189" s="23" t="s">
        <v>731</v>
      </c>
      <c r="G1189" s="20" t="s">
        <v>998</v>
      </c>
      <c r="H1189" s="21" t="s">
        <v>291</v>
      </c>
      <c r="I1189" s="20" t="s">
        <v>998</v>
      </c>
      <c r="J1189" s="21" t="s">
        <v>306</v>
      </c>
      <c r="K1189" s="20" t="s">
        <v>998</v>
      </c>
      <c r="L1189" s="21" t="s">
        <v>737</v>
      </c>
      <c r="M1189" s="20" t="s">
        <v>998</v>
      </c>
      <c r="N1189" s="21" t="s">
        <v>202</v>
      </c>
      <c r="O1189" s="20" t="s">
        <v>998</v>
      </c>
      <c r="P1189" s="21" t="s">
        <v>3055</v>
      </c>
      <c r="Q1189" s="20" t="s">
        <v>998</v>
      </c>
      <c r="R1189" s="21" t="s">
        <v>77</v>
      </c>
      <c r="S1189" s="20" t="s">
        <v>998</v>
      </c>
      <c r="T1189" s="76" t="s">
        <v>3056</v>
      </c>
      <c r="V1189" s="26" t="s">
        <v>79</v>
      </c>
      <c r="W1189" s="28"/>
      <c r="X1189" s="26" t="s">
        <v>79</v>
      </c>
      <c r="Z1189" s="26" t="s">
        <v>80</v>
      </c>
      <c r="AA1189" s="20"/>
      <c r="AB1189" s="72" t="s">
        <v>92</v>
      </c>
      <c r="AC1189" s="20"/>
      <c r="AD1189" s="106" t="s">
        <v>3057</v>
      </c>
    </row>
    <row r="1190" spans="1:30" ht="68.099999999999994">
      <c r="A1190" s="25"/>
      <c r="B1190" s="21" t="s">
        <v>3058</v>
      </c>
      <c r="C1190" s="20" t="s">
        <v>998</v>
      </c>
      <c r="D1190" s="21" t="s">
        <v>394</v>
      </c>
      <c r="E1190" s="20" t="s">
        <v>998</v>
      </c>
      <c r="F1190" s="23" t="s">
        <v>394</v>
      </c>
      <c r="G1190" s="20" t="s">
        <v>998</v>
      </c>
      <c r="H1190" s="21" t="s">
        <v>364</v>
      </c>
      <c r="I1190" s="20" t="s">
        <v>998</v>
      </c>
      <c r="J1190" s="21" t="s">
        <v>299</v>
      </c>
      <c r="K1190" s="20" t="s">
        <v>998</v>
      </c>
      <c r="L1190" s="21" t="s">
        <v>737</v>
      </c>
      <c r="M1190" s="20" t="s">
        <v>998</v>
      </c>
      <c r="N1190" s="21" t="s">
        <v>202</v>
      </c>
      <c r="O1190" s="20" t="s">
        <v>998</v>
      </c>
      <c r="P1190" s="21" t="s">
        <v>3059</v>
      </c>
      <c r="Q1190" s="20" t="s">
        <v>998</v>
      </c>
      <c r="R1190" s="21" t="s">
        <v>77</v>
      </c>
      <c r="S1190" s="20" t="s">
        <v>998</v>
      </c>
      <c r="T1190" s="76" t="s">
        <v>3060</v>
      </c>
      <c r="V1190" s="26" t="s">
        <v>79</v>
      </c>
      <c r="W1190" s="28"/>
      <c r="X1190" s="26" t="s">
        <v>79</v>
      </c>
      <c r="Z1190" s="26" t="s">
        <v>80</v>
      </c>
      <c r="AA1190" s="28"/>
      <c r="AB1190" s="26" t="s">
        <v>80</v>
      </c>
      <c r="AD1190" s="23" t="s">
        <v>3061</v>
      </c>
    </row>
    <row r="1191" spans="1:30" ht="201.95" customHeight="1">
      <c r="B1191" s="107" t="s">
        <v>3062</v>
      </c>
      <c r="C1191" s="20"/>
      <c r="D1191" s="21" t="s">
        <v>115</v>
      </c>
      <c r="E1191" s="20"/>
      <c r="F1191" s="23" t="s">
        <v>115</v>
      </c>
      <c r="H1191" s="21" t="s">
        <v>291</v>
      </c>
      <c r="J1191" s="21" t="s">
        <v>3063</v>
      </c>
      <c r="L1191" s="21" t="s">
        <v>737</v>
      </c>
      <c r="N1191" s="21" t="s">
        <v>103</v>
      </c>
      <c r="P1191" s="21" t="s">
        <v>3064</v>
      </c>
      <c r="R1191" s="21" t="s">
        <v>77</v>
      </c>
      <c r="S1191" s="20"/>
      <c r="T1191" s="58" t="s">
        <v>3062</v>
      </c>
      <c r="V1191" s="26" t="s">
        <v>79</v>
      </c>
      <c r="W1191" s="28"/>
      <c r="X1191" s="26" t="s">
        <v>79</v>
      </c>
      <c r="Z1191" s="26" t="s">
        <v>80</v>
      </c>
      <c r="AA1191" s="28"/>
      <c r="AB1191" s="72" t="s">
        <v>80</v>
      </c>
      <c r="AD1191" s="23" t="s">
        <v>3065</v>
      </c>
    </row>
    <row r="1192" spans="1:30" ht="44.1" customHeight="1">
      <c r="B1192" s="107" t="s">
        <v>3066</v>
      </c>
      <c r="C1192" s="20"/>
      <c r="D1192" s="21" t="s">
        <v>115</v>
      </c>
      <c r="E1192" s="20"/>
      <c r="F1192" s="23" t="s">
        <v>115</v>
      </c>
      <c r="H1192" s="21" t="s">
        <v>291</v>
      </c>
      <c r="J1192" s="21" t="s">
        <v>3063</v>
      </c>
      <c r="L1192" s="21" t="s">
        <v>737</v>
      </c>
      <c r="N1192" s="21" t="s">
        <v>103</v>
      </c>
      <c r="P1192" s="21" t="s">
        <v>3067</v>
      </c>
      <c r="R1192" s="21" t="s">
        <v>77</v>
      </c>
      <c r="S1192" s="20"/>
      <c r="T1192" s="58" t="s">
        <v>3066</v>
      </c>
      <c r="V1192" s="26" t="s">
        <v>79</v>
      </c>
      <c r="W1192" s="28"/>
      <c r="X1192" s="26" t="s">
        <v>79</v>
      </c>
      <c r="Z1192" s="26" t="s">
        <v>80</v>
      </c>
      <c r="AA1192" s="28"/>
      <c r="AB1192" s="26" t="s">
        <v>80</v>
      </c>
      <c r="AD1192" s="23" t="s">
        <v>3065</v>
      </c>
    </row>
    <row r="1193" spans="1:30" ht="135.94999999999999">
      <c r="B1193" s="21" t="s">
        <v>3068</v>
      </c>
      <c r="C1193" s="20"/>
      <c r="D1193" s="21" t="s">
        <v>3069</v>
      </c>
      <c r="E1193" s="20"/>
      <c r="F1193" s="23" t="s">
        <v>221</v>
      </c>
      <c r="H1193" s="21" t="s">
        <v>291</v>
      </c>
      <c r="J1193" s="21" t="s">
        <v>3063</v>
      </c>
      <c r="L1193" s="21" t="s">
        <v>737</v>
      </c>
      <c r="N1193" s="21" t="s">
        <v>185</v>
      </c>
      <c r="P1193" s="21" t="s">
        <v>3070</v>
      </c>
      <c r="R1193" s="21" t="s">
        <v>77</v>
      </c>
      <c r="S1193" s="20"/>
      <c r="T1193" s="58" t="s">
        <v>3071</v>
      </c>
      <c r="V1193" s="26" t="s">
        <v>79</v>
      </c>
      <c r="W1193" s="28"/>
      <c r="X1193" s="26" t="s">
        <v>79</v>
      </c>
      <c r="Z1193" s="26" t="s">
        <v>80</v>
      </c>
      <c r="AA1193" s="20"/>
      <c r="AB1193" s="26" t="s">
        <v>80</v>
      </c>
      <c r="AD1193" s="106" t="s">
        <v>3072</v>
      </c>
    </row>
    <row r="1194" spans="1:30" ht="153">
      <c r="B1194" s="21" t="s">
        <v>3073</v>
      </c>
      <c r="C1194" s="20"/>
      <c r="D1194" s="21" t="s">
        <v>394</v>
      </c>
      <c r="E1194" s="20"/>
      <c r="F1194" s="23" t="s">
        <v>394</v>
      </c>
      <c r="H1194" s="21" t="s">
        <v>72</v>
      </c>
      <c r="J1194" s="21" t="s">
        <v>3063</v>
      </c>
      <c r="L1194" s="21" t="s">
        <v>737</v>
      </c>
      <c r="N1194" s="21" t="s">
        <v>103</v>
      </c>
      <c r="P1194" s="21" t="s">
        <v>3074</v>
      </c>
      <c r="R1194" s="21" t="s">
        <v>77</v>
      </c>
      <c r="S1194" s="20"/>
      <c r="T1194" s="58" t="s">
        <v>3075</v>
      </c>
      <c r="V1194" s="26" t="s">
        <v>79</v>
      </c>
      <c r="W1194" s="28"/>
      <c r="X1194" s="26" t="s">
        <v>79</v>
      </c>
      <c r="Z1194" s="26" t="s">
        <v>80</v>
      </c>
      <c r="AA1194" s="20"/>
      <c r="AB1194" s="26" t="s">
        <v>80</v>
      </c>
      <c r="AD1194" s="106" t="s">
        <v>3076</v>
      </c>
    </row>
    <row r="1195" spans="1:30" ht="68.099999999999994">
      <c r="B1195" s="21" t="s">
        <v>3077</v>
      </c>
      <c r="C1195" s="20"/>
      <c r="D1195" s="21" t="s">
        <v>3078</v>
      </c>
      <c r="E1195" s="20"/>
      <c r="F1195" s="23" t="s">
        <v>3079</v>
      </c>
      <c r="H1195" s="21" t="s">
        <v>364</v>
      </c>
      <c r="J1195" s="21" t="s">
        <v>3063</v>
      </c>
      <c r="L1195" s="21" t="s">
        <v>737</v>
      </c>
      <c r="N1195" s="21" t="s">
        <v>185</v>
      </c>
      <c r="P1195" s="21" t="s">
        <v>3080</v>
      </c>
      <c r="R1195" s="21" t="s">
        <v>77</v>
      </c>
      <c r="S1195" s="20"/>
      <c r="T1195" s="58" t="s">
        <v>3081</v>
      </c>
      <c r="V1195" s="26" t="s">
        <v>79</v>
      </c>
      <c r="W1195" s="28"/>
      <c r="X1195" s="26" t="s">
        <v>79</v>
      </c>
      <c r="Z1195" s="26" t="s">
        <v>80</v>
      </c>
      <c r="AA1195" s="20"/>
      <c r="AB1195" s="26" t="s">
        <v>80</v>
      </c>
      <c r="AD1195" s="106" t="s">
        <v>3082</v>
      </c>
    </row>
    <row r="1196" spans="1:30" ht="68.099999999999994">
      <c r="B1196" s="21" t="s">
        <v>3083</v>
      </c>
      <c r="C1196" s="20"/>
      <c r="D1196" s="21" t="s">
        <v>658</v>
      </c>
      <c r="E1196" s="20"/>
      <c r="F1196" s="23" t="s">
        <v>731</v>
      </c>
      <c r="H1196" s="21" t="s">
        <v>298</v>
      </c>
      <c r="J1196" s="21" t="s">
        <v>3063</v>
      </c>
      <c r="L1196" s="21" t="s">
        <v>737</v>
      </c>
      <c r="N1196" s="21" t="s">
        <v>185</v>
      </c>
      <c r="P1196" s="21" t="s">
        <v>3084</v>
      </c>
      <c r="R1196" s="21" t="s">
        <v>77</v>
      </c>
      <c r="S1196" s="20"/>
      <c r="T1196" s="58" t="s">
        <v>3085</v>
      </c>
      <c r="V1196" s="26" t="s">
        <v>79</v>
      </c>
      <c r="W1196" s="28"/>
      <c r="X1196" s="26" t="s">
        <v>79</v>
      </c>
      <c r="Z1196" s="26" t="s">
        <v>80</v>
      </c>
      <c r="AA1196" s="20"/>
      <c r="AB1196" s="26" t="s">
        <v>80</v>
      </c>
      <c r="AD1196" s="106" t="s">
        <v>3086</v>
      </c>
    </row>
    <row r="1197" spans="1:30" ht="51">
      <c r="B1197" s="21" t="s">
        <v>3087</v>
      </c>
      <c r="C1197" s="20"/>
      <c r="D1197" s="21" t="s">
        <v>3088</v>
      </c>
      <c r="E1197" s="20"/>
      <c r="F1197" s="23" t="s">
        <v>2303</v>
      </c>
      <c r="H1197" s="21" t="s">
        <v>291</v>
      </c>
      <c r="J1197" s="21" t="s">
        <v>3063</v>
      </c>
      <c r="L1197" s="21" t="s">
        <v>737</v>
      </c>
      <c r="N1197" s="21" t="s">
        <v>185</v>
      </c>
      <c r="P1197" s="21" t="s">
        <v>3089</v>
      </c>
      <c r="R1197" s="21" t="s">
        <v>77</v>
      </c>
      <c r="S1197" s="20"/>
      <c r="T1197" s="58" t="s">
        <v>3090</v>
      </c>
      <c r="V1197" s="26" t="s">
        <v>79</v>
      </c>
      <c r="W1197" s="28"/>
      <c r="X1197" s="26" t="s">
        <v>79</v>
      </c>
      <c r="Z1197" s="26" t="s">
        <v>80</v>
      </c>
      <c r="AA1197" s="20"/>
      <c r="AB1197" s="26" t="s">
        <v>80</v>
      </c>
      <c r="AD1197" s="106" t="s">
        <v>3091</v>
      </c>
    </row>
    <row r="1198" spans="1:30" ht="51">
      <c r="B1198" s="21" t="s">
        <v>3092</v>
      </c>
      <c r="C1198" s="20"/>
      <c r="D1198" s="21" t="s">
        <v>3093</v>
      </c>
      <c r="E1198" s="20"/>
      <c r="F1198" s="23" t="s">
        <v>123</v>
      </c>
      <c r="H1198" s="21" t="s">
        <v>291</v>
      </c>
      <c r="J1198" s="21" t="s">
        <v>3063</v>
      </c>
      <c r="L1198" s="21" t="s">
        <v>737</v>
      </c>
      <c r="N1198" s="21" t="s">
        <v>185</v>
      </c>
      <c r="P1198" s="21" t="s">
        <v>3094</v>
      </c>
      <c r="R1198" s="21" t="s">
        <v>77</v>
      </c>
      <c r="S1198" s="20"/>
      <c r="T1198" s="58" t="s">
        <v>3095</v>
      </c>
      <c r="V1198" s="26" t="s">
        <v>79</v>
      </c>
      <c r="W1198" s="28"/>
      <c r="X1198" s="26" t="s">
        <v>79</v>
      </c>
      <c r="Z1198" s="26" t="s">
        <v>80</v>
      </c>
      <c r="AA1198" s="20"/>
      <c r="AB1198" s="26" t="s">
        <v>80</v>
      </c>
      <c r="AD1198" s="106" t="s">
        <v>3096</v>
      </c>
    </row>
    <row r="1199" spans="1:30" ht="51">
      <c r="B1199" s="21" t="s">
        <v>3097</v>
      </c>
      <c r="C1199" s="20"/>
      <c r="D1199" s="21" t="s">
        <v>3093</v>
      </c>
      <c r="E1199" s="20"/>
      <c r="F1199" s="23" t="s">
        <v>123</v>
      </c>
      <c r="H1199" s="21" t="s">
        <v>291</v>
      </c>
      <c r="J1199" s="21" t="s">
        <v>3063</v>
      </c>
      <c r="L1199" s="21" t="s">
        <v>737</v>
      </c>
      <c r="N1199" s="21" t="s">
        <v>185</v>
      </c>
      <c r="P1199" s="21" t="s">
        <v>3098</v>
      </c>
      <c r="R1199" s="21" t="s">
        <v>77</v>
      </c>
      <c r="S1199" s="20"/>
      <c r="T1199" s="58" t="s">
        <v>3099</v>
      </c>
      <c r="V1199" s="26" t="s">
        <v>79</v>
      </c>
      <c r="W1199" s="28"/>
      <c r="X1199" s="26" t="s">
        <v>79</v>
      </c>
      <c r="Z1199" s="26" t="s">
        <v>80</v>
      </c>
      <c r="AA1199" s="20"/>
      <c r="AB1199" s="26" t="s">
        <v>80</v>
      </c>
      <c r="AD1199" s="106" t="s">
        <v>3100</v>
      </c>
    </row>
    <row r="1200" spans="1:30" ht="51">
      <c r="B1200" s="21" t="s">
        <v>3101</v>
      </c>
      <c r="C1200" s="20"/>
      <c r="D1200" s="21" t="s">
        <v>3102</v>
      </c>
      <c r="E1200" s="20"/>
      <c r="F1200" s="23" t="s">
        <v>123</v>
      </c>
      <c r="H1200" s="21" t="s">
        <v>291</v>
      </c>
      <c r="J1200" s="21" t="s">
        <v>3063</v>
      </c>
      <c r="L1200" s="21" t="s">
        <v>737</v>
      </c>
      <c r="N1200" s="21" t="s">
        <v>185</v>
      </c>
      <c r="P1200" s="21" t="s">
        <v>3103</v>
      </c>
      <c r="R1200" s="21" t="s">
        <v>77</v>
      </c>
      <c r="S1200" s="20"/>
      <c r="T1200" s="58" t="s">
        <v>3104</v>
      </c>
      <c r="V1200" s="26" t="s">
        <v>79</v>
      </c>
      <c r="W1200" s="28"/>
      <c r="X1200" s="26" t="s">
        <v>79</v>
      </c>
      <c r="Z1200" s="26" t="s">
        <v>80</v>
      </c>
      <c r="AA1200" s="20"/>
      <c r="AB1200" s="26" t="s">
        <v>80</v>
      </c>
      <c r="AD1200" s="106" t="s">
        <v>3105</v>
      </c>
    </row>
    <row r="1201" spans="2:30" ht="170.1">
      <c r="B1201" s="21" t="s">
        <v>3106</v>
      </c>
      <c r="C1201" s="20"/>
      <c r="D1201" s="21" t="s">
        <v>3107</v>
      </c>
      <c r="E1201" s="20"/>
      <c r="F1201" s="23" t="s">
        <v>254</v>
      </c>
      <c r="H1201" s="21" t="s">
        <v>291</v>
      </c>
      <c r="J1201" s="21" t="s">
        <v>3063</v>
      </c>
      <c r="L1201" s="21" t="s">
        <v>737</v>
      </c>
      <c r="N1201" s="21" t="s">
        <v>185</v>
      </c>
      <c r="P1201" s="21" t="s">
        <v>3108</v>
      </c>
      <c r="R1201" s="21" t="s">
        <v>77</v>
      </c>
      <c r="S1201" s="20"/>
      <c r="T1201" s="58" t="s">
        <v>3109</v>
      </c>
      <c r="V1201" s="26" t="s">
        <v>79</v>
      </c>
      <c r="W1201" s="28"/>
      <c r="X1201" s="26" t="s">
        <v>79</v>
      </c>
      <c r="Z1201" s="26" t="s">
        <v>80</v>
      </c>
      <c r="AA1201" s="20"/>
      <c r="AB1201" s="26" t="s">
        <v>80</v>
      </c>
      <c r="AD1201" s="106" t="s">
        <v>3110</v>
      </c>
    </row>
    <row r="1202" spans="2:30" ht="51">
      <c r="B1202" s="21" t="s">
        <v>3111</v>
      </c>
      <c r="C1202" s="20"/>
      <c r="D1202" s="21" t="s">
        <v>3112</v>
      </c>
      <c r="E1202" s="20"/>
      <c r="F1202" s="23" t="s">
        <v>254</v>
      </c>
      <c r="H1202" s="21" t="s">
        <v>291</v>
      </c>
      <c r="J1202" s="21" t="s">
        <v>3063</v>
      </c>
      <c r="L1202" s="21" t="s">
        <v>737</v>
      </c>
      <c r="N1202" s="21" t="s">
        <v>185</v>
      </c>
      <c r="P1202" s="21" t="s">
        <v>3113</v>
      </c>
      <c r="R1202" s="21" t="s">
        <v>77</v>
      </c>
      <c r="S1202" s="20"/>
      <c r="T1202" s="58" t="s">
        <v>3114</v>
      </c>
      <c r="V1202" s="26" t="s">
        <v>79</v>
      </c>
      <c r="W1202" s="28"/>
      <c r="X1202" s="26" t="s">
        <v>79</v>
      </c>
      <c r="Z1202" s="26" t="s">
        <v>80</v>
      </c>
      <c r="AA1202" s="20"/>
      <c r="AB1202" s="26" t="s">
        <v>80</v>
      </c>
      <c r="AD1202" s="106" t="s">
        <v>3115</v>
      </c>
    </row>
    <row r="1203" spans="2:30" ht="51">
      <c r="B1203" s="21" t="s">
        <v>3116</v>
      </c>
      <c r="C1203" s="20"/>
      <c r="D1203" s="21" t="s">
        <v>115</v>
      </c>
      <c r="E1203" s="20"/>
      <c r="F1203" s="23" t="s">
        <v>115</v>
      </c>
      <c r="H1203" s="21" t="s">
        <v>291</v>
      </c>
      <c r="J1203" s="21" t="s">
        <v>3117</v>
      </c>
      <c r="L1203" s="21" t="s">
        <v>737</v>
      </c>
      <c r="N1203" s="21" t="s">
        <v>103</v>
      </c>
      <c r="P1203" s="21" t="s">
        <v>3118</v>
      </c>
      <c r="R1203" s="21" t="s">
        <v>77</v>
      </c>
      <c r="S1203" s="20"/>
      <c r="T1203" s="58" t="s">
        <v>3119</v>
      </c>
      <c r="V1203" s="26" t="s">
        <v>79</v>
      </c>
      <c r="W1203" s="28"/>
      <c r="X1203" s="26" t="s">
        <v>79</v>
      </c>
      <c r="Z1203" s="26" t="s">
        <v>80</v>
      </c>
      <c r="AA1203" s="20"/>
      <c r="AB1203" s="23" t="s">
        <v>80</v>
      </c>
      <c r="AD1203" s="106" t="s">
        <v>3120</v>
      </c>
    </row>
    <row r="1204" spans="2:30" ht="68.099999999999994">
      <c r="B1204" s="21" t="s">
        <v>3121</v>
      </c>
      <c r="C1204" s="20"/>
      <c r="D1204" s="21" t="s">
        <v>115</v>
      </c>
      <c r="E1204" s="20"/>
      <c r="F1204" s="23" t="s">
        <v>115</v>
      </c>
      <c r="H1204" s="21" t="s">
        <v>291</v>
      </c>
      <c r="J1204" s="21" t="s">
        <v>3117</v>
      </c>
      <c r="L1204" s="21" t="s">
        <v>737</v>
      </c>
      <c r="N1204" s="21" t="s">
        <v>103</v>
      </c>
      <c r="P1204" s="21" t="s">
        <v>3122</v>
      </c>
      <c r="R1204" s="21" t="s">
        <v>77</v>
      </c>
      <c r="S1204" s="20"/>
      <c r="T1204" s="58" t="s">
        <v>3123</v>
      </c>
      <c r="V1204" s="26" t="s">
        <v>79</v>
      </c>
      <c r="W1204" s="28"/>
      <c r="X1204" s="26" t="s">
        <v>79</v>
      </c>
      <c r="Z1204" s="26" t="s">
        <v>80</v>
      </c>
      <c r="AA1204" s="20"/>
      <c r="AB1204" s="26" t="s">
        <v>80</v>
      </c>
      <c r="AD1204" s="106" t="s">
        <v>3124</v>
      </c>
    </row>
    <row r="1205" spans="2:30" ht="51">
      <c r="B1205" s="21" t="s">
        <v>3125</v>
      </c>
      <c r="C1205" s="20"/>
      <c r="D1205" s="21" t="s">
        <v>115</v>
      </c>
      <c r="E1205" s="20"/>
      <c r="F1205" s="23" t="s">
        <v>115</v>
      </c>
      <c r="H1205" s="21" t="s">
        <v>291</v>
      </c>
      <c r="J1205" s="21" t="s">
        <v>3117</v>
      </c>
      <c r="L1205" s="21" t="s">
        <v>737</v>
      </c>
      <c r="N1205" s="21" t="s">
        <v>185</v>
      </c>
      <c r="P1205" s="21" t="s">
        <v>3126</v>
      </c>
      <c r="R1205" s="21" t="s">
        <v>77</v>
      </c>
      <c r="S1205" s="20"/>
      <c r="T1205" s="58" t="s">
        <v>3123</v>
      </c>
      <c r="V1205" s="26" t="s">
        <v>79</v>
      </c>
      <c r="W1205" s="28"/>
      <c r="X1205" s="26" t="s">
        <v>79</v>
      </c>
      <c r="Z1205" s="26" t="s">
        <v>80</v>
      </c>
      <c r="AA1205" s="20"/>
      <c r="AB1205" s="26" t="s">
        <v>80</v>
      </c>
      <c r="AD1205" s="106" t="s">
        <v>3127</v>
      </c>
    </row>
    <row r="1206" spans="2:30" ht="119.1">
      <c r="B1206" s="21" t="s">
        <v>3128</v>
      </c>
      <c r="C1206" s="20"/>
      <c r="D1206" s="21" t="s">
        <v>3112</v>
      </c>
      <c r="E1206" s="20"/>
      <c r="F1206" s="23" t="s">
        <v>254</v>
      </c>
      <c r="H1206" s="21" t="s">
        <v>291</v>
      </c>
      <c r="J1206" s="21" t="s">
        <v>3117</v>
      </c>
      <c r="L1206" s="21" t="s">
        <v>737</v>
      </c>
      <c r="N1206" s="21" t="s">
        <v>185</v>
      </c>
      <c r="P1206" s="21" t="s">
        <v>3129</v>
      </c>
      <c r="R1206" s="21" t="s">
        <v>77</v>
      </c>
      <c r="S1206" s="20"/>
      <c r="T1206" s="58" t="s">
        <v>3130</v>
      </c>
      <c r="V1206" s="26" t="s">
        <v>79</v>
      </c>
      <c r="W1206" s="28"/>
      <c r="X1206" s="26" t="s">
        <v>79</v>
      </c>
      <c r="Z1206" s="26" t="s">
        <v>80</v>
      </c>
      <c r="AA1206" s="20"/>
      <c r="AB1206" s="26" t="s">
        <v>80</v>
      </c>
      <c r="AD1206" s="106" t="s">
        <v>3131</v>
      </c>
    </row>
    <row r="1207" spans="2:30" ht="170.1">
      <c r="B1207" s="21" t="s">
        <v>3132</v>
      </c>
      <c r="C1207" s="20"/>
      <c r="D1207" s="21" t="s">
        <v>3107</v>
      </c>
      <c r="E1207" s="20"/>
      <c r="F1207" s="23" t="s">
        <v>254</v>
      </c>
      <c r="H1207" s="21" t="s">
        <v>291</v>
      </c>
      <c r="J1207" s="21" t="s">
        <v>3117</v>
      </c>
      <c r="L1207" s="21" t="s">
        <v>737</v>
      </c>
      <c r="N1207" s="21" t="s">
        <v>185</v>
      </c>
      <c r="P1207" s="21" t="s">
        <v>3133</v>
      </c>
      <c r="R1207" s="21" t="s">
        <v>77</v>
      </c>
      <c r="S1207" s="20"/>
      <c r="T1207" s="58" t="s">
        <v>3134</v>
      </c>
      <c r="V1207" s="26" t="s">
        <v>79</v>
      </c>
      <c r="W1207" s="28"/>
      <c r="X1207" s="26" t="s">
        <v>79</v>
      </c>
      <c r="Z1207" s="26" t="s">
        <v>80</v>
      </c>
      <c r="AA1207" s="20"/>
      <c r="AB1207" s="26" t="s">
        <v>80</v>
      </c>
      <c r="AD1207" s="106" t="s">
        <v>3135</v>
      </c>
    </row>
    <row r="1208" spans="2:30" ht="102">
      <c r="B1208" s="21" t="s">
        <v>3136</v>
      </c>
      <c r="C1208" s="20"/>
      <c r="D1208" s="21" t="s">
        <v>2364</v>
      </c>
      <c r="E1208" s="20"/>
      <c r="F1208" s="23" t="s">
        <v>731</v>
      </c>
      <c r="H1208" s="21" t="s">
        <v>364</v>
      </c>
      <c r="J1208" s="21" t="s">
        <v>3117</v>
      </c>
      <c r="L1208" s="21" t="s">
        <v>737</v>
      </c>
      <c r="N1208" s="21" t="s">
        <v>185</v>
      </c>
      <c r="P1208" s="21" t="s">
        <v>3137</v>
      </c>
      <c r="R1208" s="21" t="s">
        <v>77</v>
      </c>
      <c r="S1208" s="20"/>
      <c r="T1208" s="58" t="s">
        <v>3138</v>
      </c>
      <c r="V1208" s="26" t="s">
        <v>79</v>
      </c>
      <c r="W1208" s="28"/>
      <c r="X1208" s="26" t="s">
        <v>79</v>
      </c>
      <c r="Z1208" s="26" t="s">
        <v>80</v>
      </c>
      <c r="AA1208" s="20"/>
      <c r="AB1208" s="26" t="s">
        <v>80</v>
      </c>
      <c r="AD1208" s="106" t="s">
        <v>3139</v>
      </c>
    </row>
    <row r="1209" spans="2:30" ht="105" customHeight="1">
      <c r="B1209" s="21" t="s">
        <v>3140</v>
      </c>
      <c r="C1209" s="20"/>
      <c r="D1209" s="21" t="s">
        <v>123</v>
      </c>
      <c r="E1209" s="20"/>
      <c r="F1209" s="23" t="s">
        <v>123</v>
      </c>
      <c r="H1209" s="21" t="s">
        <v>291</v>
      </c>
      <c r="J1209" s="21" t="s">
        <v>3117</v>
      </c>
      <c r="L1209" s="21" t="s">
        <v>737</v>
      </c>
      <c r="N1209" s="21" t="s">
        <v>185</v>
      </c>
      <c r="P1209" s="21" t="s">
        <v>3141</v>
      </c>
      <c r="R1209" s="21" t="s">
        <v>77</v>
      </c>
      <c r="S1209" s="20"/>
      <c r="T1209" s="58" t="s">
        <v>3142</v>
      </c>
      <c r="V1209" s="26" t="s">
        <v>79</v>
      </c>
      <c r="W1209" s="28"/>
      <c r="X1209" s="26" t="s">
        <v>79</v>
      </c>
      <c r="Z1209" s="26" t="s">
        <v>80</v>
      </c>
      <c r="AA1209" s="20"/>
      <c r="AB1209" s="26" t="s">
        <v>80</v>
      </c>
      <c r="AD1209" s="106" t="s">
        <v>3143</v>
      </c>
    </row>
    <row r="1210" spans="2:30" ht="51">
      <c r="B1210" s="95" t="s">
        <v>3144</v>
      </c>
      <c r="C1210" s="126"/>
      <c r="D1210" s="95" t="s">
        <v>658</v>
      </c>
      <c r="E1210" s="126"/>
      <c r="F1210" s="23" t="s">
        <v>363</v>
      </c>
      <c r="G1210" s="126"/>
      <c r="H1210" s="95" t="s">
        <v>364</v>
      </c>
      <c r="I1210" s="126"/>
      <c r="J1210" s="95" t="s">
        <v>659</v>
      </c>
      <c r="K1210" s="126"/>
      <c r="L1210" s="95" t="s">
        <v>737</v>
      </c>
      <c r="M1210" s="126"/>
      <c r="N1210" s="95" t="s">
        <v>185</v>
      </c>
      <c r="O1210" s="126"/>
      <c r="P1210" s="95" t="s">
        <v>3145</v>
      </c>
      <c r="Q1210" s="126"/>
      <c r="R1210" s="21" t="s">
        <v>77</v>
      </c>
      <c r="S1210" s="126"/>
      <c r="T1210" s="76" t="s">
        <v>3146</v>
      </c>
      <c r="U1210" s="166"/>
      <c r="V1210" s="26" t="s">
        <v>79</v>
      </c>
      <c r="W1210" s="167"/>
      <c r="X1210" s="83" t="s">
        <v>79</v>
      </c>
      <c r="Y1210" s="167"/>
      <c r="Z1210" s="26" t="s">
        <v>80</v>
      </c>
      <c r="AA1210" s="28"/>
      <c r="AB1210" s="26" t="s">
        <v>80</v>
      </c>
      <c r="AD1210" s="106" t="s">
        <v>3147</v>
      </c>
    </row>
    <row r="1211" spans="2:30" ht="33.950000000000003">
      <c r="B1211" s="95" t="s">
        <v>3148</v>
      </c>
      <c r="C1211" s="126"/>
      <c r="D1211" s="95" t="s">
        <v>362</v>
      </c>
      <c r="E1211" s="126"/>
      <c r="F1211" s="23" t="s">
        <v>363</v>
      </c>
      <c r="G1211" s="126"/>
      <c r="H1211" s="95" t="s">
        <v>291</v>
      </c>
      <c r="I1211" s="126"/>
      <c r="J1211" s="95" t="s">
        <v>659</v>
      </c>
      <c r="K1211" s="126"/>
      <c r="L1211" s="95" t="s">
        <v>737</v>
      </c>
      <c r="M1211" s="126"/>
      <c r="N1211" s="95" t="s">
        <v>185</v>
      </c>
      <c r="O1211" s="126"/>
      <c r="P1211" s="95" t="s">
        <v>3149</v>
      </c>
      <c r="Q1211" s="126"/>
      <c r="R1211" s="21" t="s">
        <v>77</v>
      </c>
      <c r="S1211" s="126"/>
      <c r="T1211" s="58" t="s">
        <v>3150</v>
      </c>
      <c r="U1211" s="166"/>
      <c r="V1211" s="26" t="s">
        <v>79</v>
      </c>
      <c r="W1211" s="167"/>
      <c r="X1211" s="83" t="s">
        <v>79</v>
      </c>
      <c r="Y1211" s="167"/>
      <c r="Z1211" s="26" t="s">
        <v>80</v>
      </c>
      <c r="AA1211" s="28"/>
      <c r="AB1211" s="26" t="s">
        <v>80</v>
      </c>
      <c r="AD1211" s="106" t="s">
        <v>3151</v>
      </c>
    </row>
    <row r="1212" spans="2:30" ht="99.95" customHeight="1">
      <c r="B1212" s="95" t="s">
        <v>3148</v>
      </c>
      <c r="C1212" s="126"/>
      <c r="D1212" s="95" t="s">
        <v>3152</v>
      </c>
      <c r="E1212" s="126"/>
      <c r="F1212" s="106" t="s">
        <v>3152</v>
      </c>
      <c r="G1212" s="126"/>
      <c r="H1212" s="95" t="s">
        <v>291</v>
      </c>
      <c r="I1212" s="126"/>
      <c r="J1212" s="95" t="s">
        <v>659</v>
      </c>
      <c r="K1212" s="126"/>
      <c r="L1212" s="95" t="s">
        <v>737</v>
      </c>
      <c r="M1212" s="126"/>
      <c r="N1212" s="95" t="s">
        <v>185</v>
      </c>
      <c r="O1212" s="126"/>
      <c r="P1212" s="95" t="s">
        <v>3149</v>
      </c>
      <c r="Q1212" s="126"/>
      <c r="R1212" s="21" t="s">
        <v>77</v>
      </c>
      <c r="S1212" s="126"/>
      <c r="T1212" s="58" t="s">
        <v>3153</v>
      </c>
      <c r="U1212" s="166"/>
      <c r="V1212" s="26" t="s">
        <v>79</v>
      </c>
      <c r="W1212" s="167"/>
      <c r="X1212" s="83" t="s">
        <v>79</v>
      </c>
      <c r="Y1212" s="167"/>
      <c r="Z1212" s="26" t="s">
        <v>80</v>
      </c>
      <c r="AA1212" s="28"/>
      <c r="AB1212" s="26" t="s">
        <v>80</v>
      </c>
      <c r="AD1212" s="106" t="s">
        <v>3151</v>
      </c>
    </row>
    <row r="1213" spans="2:30" ht="222" customHeight="1">
      <c r="B1213" s="95" t="s">
        <v>3154</v>
      </c>
      <c r="C1213" s="126"/>
      <c r="D1213" s="21" t="s">
        <v>115</v>
      </c>
      <c r="E1213" s="126"/>
      <c r="F1213" s="23" t="s">
        <v>115</v>
      </c>
      <c r="G1213" s="126"/>
      <c r="H1213" s="95" t="s">
        <v>2298</v>
      </c>
      <c r="I1213" s="126"/>
      <c r="J1213" s="95" t="s">
        <v>659</v>
      </c>
      <c r="K1213" s="126"/>
      <c r="L1213" s="95" t="s">
        <v>737</v>
      </c>
      <c r="M1213" s="126"/>
      <c r="N1213" s="95" t="s">
        <v>202</v>
      </c>
      <c r="O1213" s="126"/>
      <c r="P1213" s="95" t="s">
        <v>3155</v>
      </c>
      <c r="Q1213" s="126"/>
      <c r="R1213" s="21" t="s">
        <v>77</v>
      </c>
      <c r="S1213" s="126"/>
      <c r="T1213" s="58" t="s">
        <v>3156</v>
      </c>
      <c r="U1213" s="166"/>
      <c r="V1213" s="26" t="s">
        <v>79</v>
      </c>
      <c r="W1213" s="25"/>
      <c r="X1213" s="26" t="s">
        <v>79</v>
      </c>
      <c r="Y1213" s="85"/>
      <c r="Z1213" s="26" t="s">
        <v>79</v>
      </c>
      <c r="AA1213" s="25"/>
      <c r="AB1213" s="26" t="s">
        <v>80</v>
      </c>
      <c r="AD1213" s="106" t="s">
        <v>3157</v>
      </c>
    </row>
    <row r="1214" spans="2:30" ht="102.95" customHeight="1">
      <c r="B1214" s="95" t="s">
        <v>3158</v>
      </c>
      <c r="C1214" s="126"/>
      <c r="D1214" s="95" t="s">
        <v>3159</v>
      </c>
      <c r="E1214" s="126"/>
      <c r="F1214" s="106" t="s">
        <v>123</v>
      </c>
      <c r="G1214" s="126"/>
      <c r="H1214" s="95" t="s">
        <v>2298</v>
      </c>
      <c r="I1214" s="126"/>
      <c r="J1214" s="95" t="s">
        <v>659</v>
      </c>
      <c r="K1214" s="126"/>
      <c r="L1214" s="95" t="s">
        <v>737</v>
      </c>
      <c r="M1214" s="126"/>
      <c r="N1214" s="95" t="s">
        <v>202</v>
      </c>
      <c r="O1214" s="126"/>
      <c r="P1214" s="95" t="s">
        <v>3160</v>
      </c>
      <c r="Q1214" s="126"/>
      <c r="R1214" s="21" t="s">
        <v>77</v>
      </c>
      <c r="S1214" s="126"/>
      <c r="T1214" s="58" t="s">
        <v>3161</v>
      </c>
      <c r="U1214" s="166"/>
      <c r="V1214" s="26" t="s">
        <v>79</v>
      </c>
      <c r="W1214" s="167"/>
      <c r="X1214" s="83" t="s">
        <v>79</v>
      </c>
      <c r="Y1214" s="167"/>
      <c r="Z1214" s="26" t="s">
        <v>80</v>
      </c>
      <c r="AA1214" s="28"/>
      <c r="AB1214" s="26" t="s">
        <v>80</v>
      </c>
      <c r="AD1214" s="106" t="s">
        <v>3162</v>
      </c>
    </row>
    <row r="1215" spans="2:30" ht="99" customHeight="1">
      <c r="B1215" s="95" t="s">
        <v>3158</v>
      </c>
      <c r="C1215" s="126"/>
      <c r="D1215" s="95" t="s">
        <v>621</v>
      </c>
      <c r="E1215" s="126"/>
      <c r="F1215" s="106" t="s">
        <v>254</v>
      </c>
      <c r="G1215" s="126"/>
      <c r="H1215" s="95" t="s">
        <v>2298</v>
      </c>
      <c r="I1215" s="126"/>
      <c r="J1215" s="95" t="s">
        <v>659</v>
      </c>
      <c r="K1215" s="126"/>
      <c r="L1215" s="95" t="s">
        <v>737</v>
      </c>
      <c r="M1215" s="126"/>
      <c r="N1215" s="95" t="s">
        <v>202</v>
      </c>
      <c r="O1215" s="126"/>
      <c r="P1215" s="95" t="s">
        <v>3160</v>
      </c>
      <c r="Q1215" s="126"/>
      <c r="R1215" s="21" t="s">
        <v>77</v>
      </c>
      <c r="S1215" s="126"/>
      <c r="T1215" s="58" t="s">
        <v>3163</v>
      </c>
      <c r="U1215" s="166"/>
      <c r="V1215" s="26" t="s">
        <v>79</v>
      </c>
      <c r="W1215" s="167"/>
      <c r="X1215" s="83" t="s">
        <v>79</v>
      </c>
      <c r="Y1215" s="167"/>
      <c r="Z1215" s="26" t="s">
        <v>80</v>
      </c>
      <c r="AA1215" s="28"/>
      <c r="AB1215" s="26" t="s">
        <v>80</v>
      </c>
      <c r="AD1215" s="106" t="s">
        <v>3162</v>
      </c>
    </row>
    <row r="1216" spans="2:30" ht="204">
      <c r="B1216" s="95" t="s">
        <v>3164</v>
      </c>
      <c r="C1216" s="126"/>
      <c r="D1216" s="95" t="s">
        <v>658</v>
      </c>
      <c r="E1216" s="126"/>
      <c r="F1216" s="106" t="s">
        <v>370</v>
      </c>
      <c r="G1216" s="126"/>
      <c r="H1216" s="95" t="s">
        <v>291</v>
      </c>
      <c r="I1216" s="126"/>
      <c r="J1216" s="95" t="s">
        <v>659</v>
      </c>
      <c r="K1216" s="126"/>
      <c r="L1216" s="95" t="s">
        <v>737</v>
      </c>
      <c r="M1216" s="126"/>
      <c r="N1216" s="95" t="s">
        <v>185</v>
      </c>
      <c r="O1216" s="126"/>
      <c r="P1216" s="95" t="s">
        <v>3165</v>
      </c>
      <c r="Q1216" s="126"/>
      <c r="R1216" s="21" t="s">
        <v>77</v>
      </c>
      <c r="S1216" s="126"/>
      <c r="T1216" s="93" t="s">
        <v>3166</v>
      </c>
      <c r="U1216" s="166"/>
      <c r="V1216" s="26" t="s">
        <v>79</v>
      </c>
      <c r="W1216" s="167"/>
      <c r="X1216" s="83" t="s">
        <v>79</v>
      </c>
      <c r="Y1216" s="167"/>
      <c r="Z1216" s="26" t="s">
        <v>80</v>
      </c>
      <c r="AA1216" s="28"/>
      <c r="AB1216" s="26" t="s">
        <v>80</v>
      </c>
      <c r="AD1216" s="106" t="s">
        <v>3167</v>
      </c>
    </row>
    <row r="1217" spans="1:30" ht="102.95" customHeight="1">
      <c r="B1217" s="95" t="s">
        <v>3164</v>
      </c>
      <c r="C1217" s="126"/>
      <c r="D1217" s="95" t="s">
        <v>658</v>
      </c>
      <c r="E1217" s="126"/>
      <c r="F1217" s="106" t="s">
        <v>394</v>
      </c>
      <c r="G1217" s="126"/>
      <c r="H1217" s="95" t="s">
        <v>291</v>
      </c>
      <c r="I1217" s="126"/>
      <c r="J1217" s="95" t="s">
        <v>659</v>
      </c>
      <c r="K1217" s="126"/>
      <c r="L1217" s="95" t="s">
        <v>737</v>
      </c>
      <c r="M1217" s="126"/>
      <c r="N1217" s="95" t="s">
        <v>185</v>
      </c>
      <c r="O1217" s="126"/>
      <c r="P1217" s="95" t="s">
        <v>3168</v>
      </c>
      <c r="Q1217" s="126"/>
      <c r="R1217" s="21" t="s">
        <v>77</v>
      </c>
      <c r="S1217" s="126"/>
      <c r="T1217" s="93" t="s">
        <v>3166</v>
      </c>
      <c r="U1217" s="166"/>
      <c r="V1217" s="26" t="s">
        <v>79</v>
      </c>
      <c r="W1217" s="167"/>
      <c r="X1217" s="83" t="s">
        <v>79</v>
      </c>
      <c r="Y1217" s="167"/>
      <c r="Z1217" s="26" t="s">
        <v>80</v>
      </c>
      <c r="AA1217" s="28"/>
      <c r="AB1217" s="26" t="s">
        <v>80</v>
      </c>
      <c r="AD1217" s="106" t="s">
        <v>3167</v>
      </c>
    </row>
    <row r="1218" spans="1:30" ht="131.1" customHeight="1">
      <c r="B1218" s="21" t="s">
        <v>3169</v>
      </c>
      <c r="C1218" s="20"/>
      <c r="D1218" s="21" t="s">
        <v>71</v>
      </c>
      <c r="E1218" s="20"/>
      <c r="F1218" s="23" t="s">
        <v>71</v>
      </c>
      <c r="H1218" s="21" t="s">
        <v>3170</v>
      </c>
      <c r="J1218" s="21" t="s">
        <v>659</v>
      </c>
      <c r="L1218" s="21" t="s">
        <v>737</v>
      </c>
      <c r="N1218" s="21" t="s">
        <v>3171</v>
      </c>
      <c r="P1218" s="21" t="s">
        <v>3172</v>
      </c>
      <c r="Q1218" s="126"/>
      <c r="R1218" s="21" t="s">
        <v>77</v>
      </c>
      <c r="S1218" s="20"/>
      <c r="T1218" s="76" t="s">
        <v>3173</v>
      </c>
      <c r="V1218" s="26" t="s">
        <v>79</v>
      </c>
      <c r="W1218" s="28"/>
      <c r="X1218" s="26" t="s">
        <v>79</v>
      </c>
      <c r="Z1218" s="26" t="s">
        <v>80</v>
      </c>
      <c r="AA1218" s="28"/>
      <c r="AB1218" s="23" t="s">
        <v>80</v>
      </c>
      <c r="AD1218" s="23" t="s">
        <v>3174</v>
      </c>
    </row>
    <row r="1219" spans="1:30" ht="53.1" customHeight="1">
      <c r="B1219" s="21" t="s">
        <v>3175</v>
      </c>
      <c r="C1219" s="20"/>
      <c r="D1219" s="21" t="s">
        <v>71</v>
      </c>
      <c r="E1219" s="20"/>
      <c r="F1219" s="23" t="s">
        <v>71</v>
      </c>
      <c r="H1219" s="21" t="s">
        <v>3176</v>
      </c>
      <c r="J1219" s="21" t="s">
        <v>659</v>
      </c>
      <c r="L1219" s="21" t="s">
        <v>737</v>
      </c>
      <c r="N1219" s="21" t="s">
        <v>185</v>
      </c>
      <c r="P1219" s="21" t="s">
        <v>3177</v>
      </c>
      <c r="R1219" s="21" t="s">
        <v>77</v>
      </c>
      <c r="S1219" s="20"/>
      <c r="T1219" s="76" t="s">
        <v>3178</v>
      </c>
      <c r="V1219" s="26" t="s">
        <v>79</v>
      </c>
      <c r="W1219" s="28"/>
      <c r="X1219" s="26" t="s">
        <v>79</v>
      </c>
      <c r="Z1219" s="26" t="s">
        <v>80</v>
      </c>
      <c r="AA1219" s="28"/>
      <c r="AB1219" s="23" t="s">
        <v>3179</v>
      </c>
      <c r="AD1219" s="23" t="s">
        <v>3180</v>
      </c>
    </row>
    <row r="1220" spans="1:30" ht="135.94999999999999">
      <c r="B1220" s="21" t="s">
        <v>3181</v>
      </c>
      <c r="C1220" s="20"/>
      <c r="D1220" s="21" t="s">
        <v>123</v>
      </c>
      <c r="E1220" s="20"/>
      <c r="F1220" s="23" t="s">
        <v>123</v>
      </c>
      <c r="H1220" s="21" t="s">
        <v>138</v>
      </c>
      <c r="J1220" s="21" t="s">
        <v>659</v>
      </c>
      <c r="L1220" s="21" t="s">
        <v>737</v>
      </c>
      <c r="N1220" s="21" t="s">
        <v>202</v>
      </c>
      <c r="P1220" s="21" t="s">
        <v>3182</v>
      </c>
      <c r="R1220" s="21" t="s">
        <v>77</v>
      </c>
      <c r="S1220" s="20"/>
      <c r="T1220" s="76" t="s">
        <v>3183</v>
      </c>
      <c r="V1220" s="26" t="s">
        <v>79</v>
      </c>
      <c r="W1220" s="28"/>
      <c r="X1220" s="26" t="s">
        <v>79</v>
      </c>
      <c r="Z1220" s="26" t="s">
        <v>80</v>
      </c>
      <c r="AA1220" s="28"/>
      <c r="AB1220" s="26" t="s">
        <v>80</v>
      </c>
      <c r="AD1220" s="23" t="s">
        <v>3184</v>
      </c>
    </row>
    <row r="1221" spans="1:30" ht="119.1">
      <c r="B1221" s="21" t="s">
        <v>3185</v>
      </c>
      <c r="C1221" s="20"/>
      <c r="D1221" s="21" t="s">
        <v>435</v>
      </c>
      <c r="E1221" s="20"/>
      <c r="F1221" s="23" t="s">
        <v>435</v>
      </c>
      <c r="H1221" s="21" t="s">
        <v>116</v>
      </c>
      <c r="J1221" s="21" t="s">
        <v>694</v>
      </c>
      <c r="L1221" s="21" t="s">
        <v>737</v>
      </c>
      <c r="N1221" s="21" t="s">
        <v>178</v>
      </c>
      <c r="P1221" s="21" t="s">
        <v>3186</v>
      </c>
      <c r="R1221" s="21" t="s">
        <v>77</v>
      </c>
      <c r="S1221" s="20"/>
      <c r="T1221" s="58" t="s">
        <v>3187</v>
      </c>
      <c r="V1221" s="26" t="s">
        <v>79</v>
      </c>
      <c r="W1221" s="25"/>
      <c r="X1221" s="26" t="s">
        <v>80</v>
      </c>
      <c r="Y1221" s="85"/>
      <c r="Z1221" s="26" t="s">
        <v>80</v>
      </c>
      <c r="AA1221" s="25"/>
      <c r="AB1221" s="26" t="s">
        <v>80</v>
      </c>
      <c r="AD1221" s="23" t="s">
        <v>3188</v>
      </c>
    </row>
    <row r="1222" spans="1:30" ht="135.94999999999999">
      <c r="B1222" s="21" t="s">
        <v>3189</v>
      </c>
      <c r="C1222" s="20"/>
      <c r="D1222" s="21" t="s">
        <v>115</v>
      </c>
      <c r="E1222" s="20"/>
      <c r="F1222" s="23" t="s">
        <v>115</v>
      </c>
      <c r="H1222" s="21" t="s">
        <v>291</v>
      </c>
      <c r="J1222" s="21" t="s">
        <v>694</v>
      </c>
      <c r="L1222" s="21" t="s">
        <v>737</v>
      </c>
      <c r="N1222" s="21" t="s">
        <v>185</v>
      </c>
      <c r="P1222" s="21" t="s">
        <v>3190</v>
      </c>
      <c r="R1222" s="21" t="s">
        <v>77</v>
      </c>
      <c r="S1222" s="20"/>
      <c r="T1222" s="58" t="s">
        <v>3191</v>
      </c>
      <c r="V1222" s="26" t="s">
        <v>80</v>
      </c>
      <c r="W1222" s="25"/>
      <c r="X1222" s="26" t="s">
        <v>80</v>
      </c>
      <c r="Y1222" s="60"/>
      <c r="Z1222" s="26" t="s">
        <v>80</v>
      </c>
      <c r="AA1222" s="25"/>
      <c r="AB1222" s="23" t="s">
        <v>3192</v>
      </c>
      <c r="AD1222" s="23" t="s">
        <v>3193</v>
      </c>
    </row>
    <row r="1223" spans="1:30" ht="102">
      <c r="B1223" s="21" t="s">
        <v>3194</v>
      </c>
      <c r="C1223" s="20"/>
      <c r="D1223" s="21" t="s">
        <v>362</v>
      </c>
      <c r="E1223" s="20"/>
      <c r="F1223" s="23" t="s">
        <v>363</v>
      </c>
      <c r="H1223" s="21" t="s">
        <v>298</v>
      </c>
      <c r="J1223" s="21" t="s">
        <v>694</v>
      </c>
      <c r="L1223" s="21" t="s">
        <v>737</v>
      </c>
      <c r="N1223" s="21" t="s">
        <v>185</v>
      </c>
      <c r="P1223" s="21" t="s">
        <v>3195</v>
      </c>
      <c r="R1223" s="21" t="s">
        <v>77</v>
      </c>
      <c r="S1223" s="20"/>
      <c r="T1223" s="58" t="s">
        <v>3196</v>
      </c>
      <c r="V1223" s="26" t="s">
        <v>79</v>
      </c>
      <c r="W1223" s="25"/>
      <c r="X1223" s="26" t="s">
        <v>80</v>
      </c>
      <c r="Y1223" s="60"/>
      <c r="Z1223" s="26" t="s">
        <v>80</v>
      </c>
      <c r="AA1223" s="25"/>
      <c r="AB1223" s="26" t="s">
        <v>80</v>
      </c>
      <c r="AD1223" s="23" t="s">
        <v>3197</v>
      </c>
    </row>
    <row r="1224" spans="1:30" ht="255">
      <c r="A1224" s="21"/>
      <c r="B1224" s="21" t="s">
        <v>3198</v>
      </c>
      <c r="C1224" s="20"/>
      <c r="D1224" s="21" t="s">
        <v>3199</v>
      </c>
      <c r="E1224" s="20"/>
      <c r="F1224" s="23" t="s">
        <v>3200</v>
      </c>
      <c r="H1224" s="21" t="s">
        <v>291</v>
      </c>
      <c r="J1224" s="21" t="s">
        <v>694</v>
      </c>
      <c r="L1224" s="21" t="s">
        <v>737</v>
      </c>
      <c r="N1224" s="21" t="s">
        <v>185</v>
      </c>
      <c r="P1224" s="21" t="s">
        <v>3201</v>
      </c>
      <c r="R1224" s="21" t="s">
        <v>77</v>
      </c>
      <c r="S1224" s="20"/>
      <c r="T1224" s="58" t="s">
        <v>3202</v>
      </c>
      <c r="V1224" s="26" t="s">
        <v>79</v>
      </c>
      <c r="W1224" s="25"/>
      <c r="X1224" s="26" t="s">
        <v>79</v>
      </c>
      <c r="Y1224" s="60"/>
      <c r="Z1224" s="26" t="s">
        <v>79</v>
      </c>
      <c r="AA1224" s="25"/>
      <c r="AB1224" s="26" t="s">
        <v>80</v>
      </c>
      <c r="AD1224" s="23" t="s">
        <v>3203</v>
      </c>
    </row>
    <row r="1225" spans="1:30" ht="75.95" customHeight="1">
      <c r="A1225" s="25"/>
      <c r="B1225" s="21" t="s">
        <v>3111</v>
      </c>
      <c r="C1225" s="20"/>
      <c r="D1225" s="21" t="s">
        <v>3204</v>
      </c>
      <c r="E1225" s="20"/>
      <c r="F1225" s="23" t="s">
        <v>254</v>
      </c>
      <c r="H1225" s="21" t="s">
        <v>291</v>
      </c>
      <c r="J1225" s="21" t="s">
        <v>3205</v>
      </c>
      <c r="L1225" s="21" t="s">
        <v>737</v>
      </c>
      <c r="N1225" s="21" t="s">
        <v>185</v>
      </c>
      <c r="P1225" s="21" t="s">
        <v>3113</v>
      </c>
      <c r="R1225" s="21" t="s">
        <v>77</v>
      </c>
      <c r="S1225" s="20"/>
      <c r="T1225" s="58" t="s">
        <v>3206</v>
      </c>
      <c r="V1225" s="26" t="s">
        <v>79</v>
      </c>
      <c r="W1225" s="25"/>
      <c r="X1225" s="26" t="s">
        <v>79</v>
      </c>
      <c r="Y1225" s="60"/>
      <c r="Z1225" s="26" t="s">
        <v>80</v>
      </c>
      <c r="AA1225" s="25"/>
      <c r="AB1225" s="26" t="s">
        <v>80</v>
      </c>
      <c r="AD1225" s="23" t="s">
        <v>3207</v>
      </c>
    </row>
    <row r="1226" spans="1:30" ht="72.95" customHeight="1">
      <c r="A1226" s="21"/>
      <c r="B1226" s="21" t="s">
        <v>3208</v>
      </c>
      <c r="C1226" s="20"/>
      <c r="D1226" s="21" t="s">
        <v>71</v>
      </c>
      <c r="E1226" s="20"/>
      <c r="F1226" s="23" t="s">
        <v>71</v>
      </c>
      <c r="H1226" s="21" t="s">
        <v>291</v>
      </c>
      <c r="J1226" s="21" t="s">
        <v>3205</v>
      </c>
      <c r="L1226" s="21" t="s">
        <v>737</v>
      </c>
      <c r="N1226" s="21" t="s">
        <v>185</v>
      </c>
      <c r="P1226" s="21" t="s">
        <v>3209</v>
      </c>
      <c r="R1226" s="21" t="s">
        <v>77</v>
      </c>
      <c r="S1226" s="20"/>
      <c r="T1226" s="58" t="s">
        <v>3210</v>
      </c>
      <c r="V1226" s="26" t="s">
        <v>79</v>
      </c>
      <c r="W1226" s="25"/>
      <c r="X1226" s="26" t="s">
        <v>79</v>
      </c>
      <c r="Y1226" s="60"/>
      <c r="Z1226" s="26" t="s">
        <v>80</v>
      </c>
      <c r="AA1226" s="25"/>
      <c r="AB1226" s="23" t="s">
        <v>80</v>
      </c>
      <c r="AD1226" s="23" t="s">
        <v>3211</v>
      </c>
    </row>
    <row r="1227" spans="1:30" ht="51">
      <c r="B1227" s="21" t="s">
        <v>3212</v>
      </c>
      <c r="C1227" s="20"/>
      <c r="D1227" s="21" t="s">
        <v>3213</v>
      </c>
      <c r="E1227" s="20"/>
      <c r="F1227" s="23" t="s">
        <v>3214</v>
      </c>
      <c r="H1227" s="21" t="s">
        <v>666</v>
      </c>
      <c r="J1227" s="21" t="s">
        <v>3205</v>
      </c>
      <c r="L1227" s="21" t="s">
        <v>737</v>
      </c>
      <c r="N1227" s="21" t="s">
        <v>103</v>
      </c>
      <c r="P1227" s="21" t="s">
        <v>3215</v>
      </c>
      <c r="R1227" s="21" t="s">
        <v>77</v>
      </c>
      <c r="S1227" s="20"/>
      <c r="T1227" s="58" t="s">
        <v>3216</v>
      </c>
      <c r="V1227" s="26" t="s">
        <v>79</v>
      </c>
      <c r="W1227" s="25"/>
      <c r="X1227" s="26" t="s">
        <v>79</v>
      </c>
      <c r="Y1227" s="60"/>
      <c r="Z1227" s="26" t="s">
        <v>80</v>
      </c>
      <c r="AA1227" s="25"/>
      <c r="AB1227" s="26" t="s">
        <v>80</v>
      </c>
      <c r="AD1227" s="23" t="s">
        <v>3217</v>
      </c>
    </row>
    <row r="1228" spans="1:30" ht="153">
      <c r="B1228" s="21" t="s">
        <v>3218</v>
      </c>
      <c r="C1228" s="20"/>
      <c r="D1228" s="21" t="s">
        <v>3219</v>
      </c>
      <c r="E1228" s="20"/>
      <c r="F1228" s="23" t="s">
        <v>254</v>
      </c>
      <c r="H1228" s="21" t="s">
        <v>291</v>
      </c>
      <c r="J1228" s="21" t="s">
        <v>3205</v>
      </c>
      <c r="L1228" s="21" t="s">
        <v>737</v>
      </c>
      <c r="N1228" s="21" t="s">
        <v>185</v>
      </c>
      <c r="P1228" s="21" t="s">
        <v>3220</v>
      </c>
      <c r="R1228" s="21" t="s">
        <v>77</v>
      </c>
      <c r="S1228" s="20"/>
      <c r="T1228" s="58" t="s">
        <v>3221</v>
      </c>
      <c r="V1228" s="26" t="s">
        <v>79</v>
      </c>
      <c r="W1228" s="25"/>
      <c r="X1228" s="26" t="s">
        <v>79</v>
      </c>
      <c r="Y1228" s="60"/>
      <c r="Z1228" s="26" t="s">
        <v>80</v>
      </c>
      <c r="AA1228" s="25"/>
      <c r="AB1228" s="26" t="s">
        <v>80</v>
      </c>
      <c r="AD1228" s="23" t="s">
        <v>3222</v>
      </c>
    </row>
    <row r="1229" spans="1:30" ht="68.099999999999994" customHeight="1">
      <c r="B1229" s="21" t="s">
        <v>3223</v>
      </c>
      <c r="C1229" s="20"/>
      <c r="D1229" s="21" t="s">
        <v>3224</v>
      </c>
      <c r="E1229" s="20"/>
      <c r="F1229" s="23" t="s">
        <v>363</v>
      </c>
      <c r="H1229" s="21" t="s">
        <v>291</v>
      </c>
      <c r="J1229" s="21" t="s">
        <v>3205</v>
      </c>
      <c r="L1229" s="21" t="s">
        <v>737</v>
      </c>
      <c r="N1229" s="21" t="s">
        <v>185</v>
      </c>
      <c r="P1229" s="21" t="s">
        <v>3225</v>
      </c>
      <c r="R1229" s="21" t="s">
        <v>77</v>
      </c>
      <c r="S1229" s="20"/>
      <c r="T1229" s="58" t="s">
        <v>3226</v>
      </c>
      <c r="V1229" s="26" t="s">
        <v>79</v>
      </c>
      <c r="W1229" s="25"/>
      <c r="X1229" s="26" t="s">
        <v>79</v>
      </c>
      <c r="Y1229" s="60"/>
      <c r="Z1229" s="26" t="s">
        <v>80</v>
      </c>
      <c r="AA1229" s="25"/>
      <c r="AB1229" s="23" t="s">
        <v>753</v>
      </c>
      <c r="AD1229" s="23" t="s">
        <v>3227</v>
      </c>
    </row>
    <row r="1230" spans="1:30" ht="152.1" customHeight="1">
      <c r="A1230" s="57"/>
      <c r="B1230" s="21" t="s">
        <v>3228</v>
      </c>
      <c r="C1230" s="20"/>
      <c r="D1230" s="21" t="s">
        <v>3229</v>
      </c>
      <c r="E1230" s="20"/>
      <c r="F1230" s="23" t="s">
        <v>363</v>
      </c>
      <c r="H1230" s="21" t="s">
        <v>116</v>
      </c>
      <c r="J1230" s="21" t="s">
        <v>3230</v>
      </c>
      <c r="L1230" s="21" t="s">
        <v>737</v>
      </c>
      <c r="N1230" s="21" t="s">
        <v>178</v>
      </c>
      <c r="P1230" s="21" t="s">
        <v>3231</v>
      </c>
      <c r="R1230" s="21" t="s">
        <v>77</v>
      </c>
      <c r="S1230" s="20"/>
      <c r="T1230" s="58" t="s">
        <v>3232</v>
      </c>
      <c r="V1230" s="26" t="s">
        <v>79</v>
      </c>
      <c r="W1230" s="25"/>
      <c r="X1230" s="26" t="s">
        <v>79</v>
      </c>
      <c r="Y1230" s="85"/>
      <c r="Z1230" s="26" t="s">
        <v>80</v>
      </c>
      <c r="AA1230" s="25"/>
      <c r="AB1230" s="26" t="s">
        <v>80</v>
      </c>
      <c r="AD1230" s="23" t="s">
        <v>3233</v>
      </c>
    </row>
    <row r="1231" spans="1:30" ht="135.94999999999999">
      <c r="A1231" s="57"/>
      <c r="B1231" s="21" t="s">
        <v>3234</v>
      </c>
      <c r="C1231" s="20"/>
      <c r="D1231" s="21" t="s">
        <v>3235</v>
      </c>
      <c r="E1231" s="20"/>
      <c r="F1231" s="23" t="s">
        <v>363</v>
      </c>
      <c r="H1231" s="21" t="s">
        <v>291</v>
      </c>
      <c r="J1231" s="21" t="s">
        <v>3230</v>
      </c>
      <c r="L1231" s="21" t="s">
        <v>737</v>
      </c>
      <c r="N1231" s="21" t="s">
        <v>103</v>
      </c>
      <c r="P1231" s="21" t="s">
        <v>3236</v>
      </c>
      <c r="R1231" s="21" t="s">
        <v>77</v>
      </c>
      <c r="S1231" s="20"/>
      <c r="T1231" s="58" t="s">
        <v>3237</v>
      </c>
      <c r="V1231" s="26" t="s">
        <v>79</v>
      </c>
      <c r="W1231" s="25"/>
      <c r="X1231" s="26" t="s">
        <v>79</v>
      </c>
      <c r="Y1231" s="60"/>
      <c r="Z1231" s="26" t="s">
        <v>80</v>
      </c>
      <c r="AA1231" s="25"/>
      <c r="AB1231" s="23" t="s">
        <v>80</v>
      </c>
      <c r="AD1231" s="23" t="s">
        <v>3238</v>
      </c>
    </row>
    <row r="1232" spans="1:30" ht="153">
      <c r="A1232" s="170"/>
      <c r="B1232" s="107" t="s">
        <v>3239</v>
      </c>
      <c r="C1232" s="20"/>
      <c r="D1232" s="21" t="s">
        <v>3240</v>
      </c>
      <c r="E1232" s="20"/>
      <c r="F1232" s="23" t="s">
        <v>363</v>
      </c>
      <c r="H1232" s="21" t="s">
        <v>262</v>
      </c>
      <c r="J1232" s="21" t="s">
        <v>3230</v>
      </c>
      <c r="L1232" s="21" t="s">
        <v>737</v>
      </c>
      <c r="N1232" s="21" t="s">
        <v>178</v>
      </c>
      <c r="P1232" s="21" t="s">
        <v>3241</v>
      </c>
      <c r="R1232" s="23" t="s">
        <v>77</v>
      </c>
      <c r="S1232" s="20"/>
      <c r="T1232" s="58" t="s">
        <v>3242</v>
      </c>
      <c r="V1232" s="26" t="s">
        <v>79</v>
      </c>
      <c r="W1232" s="25"/>
      <c r="X1232" s="26" t="s">
        <v>79</v>
      </c>
      <c r="Y1232" s="60"/>
      <c r="Z1232" s="26" t="s">
        <v>80</v>
      </c>
      <c r="AA1232" s="25"/>
      <c r="AB1232" s="26" t="s">
        <v>92</v>
      </c>
      <c r="AD1232" s="23" t="s">
        <v>3243</v>
      </c>
    </row>
    <row r="1233" spans="1:31" ht="53.1" customHeight="1">
      <c r="A1233" s="57"/>
      <c r="B1233" s="21" t="s">
        <v>3244</v>
      </c>
      <c r="C1233" s="20"/>
      <c r="D1233" s="21" t="s">
        <v>1323</v>
      </c>
      <c r="E1233" s="20"/>
      <c r="F1233" s="23" t="s">
        <v>254</v>
      </c>
      <c r="H1233" s="21" t="s">
        <v>291</v>
      </c>
      <c r="J1233" s="21" t="s">
        <v>3230</v>
      </c>
      <c r="L1233" s="21" t="s">
        <v>737</v>
      </c>
      <c r="N1233" s="21" t="s">
        <v>2801</v>
      </c>
      <c r="P1233" s="21" t="s">
        <v>3245</v>
      </c>
      <c r="R1233" s="23" t="s">
        <v>77</v>
      </c>
      <c r="S1233" s="20"/>
      <c r="T1233" s="58" t="s">
        <v>3246</v>
      </c>
      <c r="V1233" s="26" t="s">
        <v>79</v>
      </c>
      <c r="W1233" s="25"/>
      <c r="X1233" s="26" t="s">
        <v>79</v>
      </c>
      <c r="Y1233" s="60"/>
      <c r="Z1233" s="26" t="s">
        <v>80</v>
      </c>
      <c r="AA1233" s="25"/>
      <c r="AB1233" s="26" t="s">
        <v>80</v>
      </c>
      <c r="AD1233" s="23" t="s">
        <v>3247</v>
      </c>
    </row>
    <row r="1234" spans="1:31" s="171" customFormat="1" ht="51">
      <c r="A1234" s="126"/>
      <c r="B1234" s="83" t="s">
        <v>3248</v>
      </c>
      <c r="C1234" s="126"/>
      <c r="D1234" s="106" t="s">
        <v>3249</v>
      </c>
      <c r="E1234" s="126"/>
      <c r="F1234" s="83" t="s">
        <v>254</v>
      </c>
      <c r="G1234" s="126"/>
      <c r="H1234" s="83" t="s">
        <v>654</v>
      </c>
      <c r="I1234" s="126"/>
      <c r="J1234" s="83" t="s">
        <v>299</v>
      </c>
      <c r="K1234" s="126"/>
      <c r="L1234" s="83" t="s">
        <v>737</v>
      </c>
      <c r="M1234" s="126"/>
      <c r="N1234" s="106" t="s">
        <v>96</v>
      </c>
      <c r="O1234" s="83"/>
      <c r="P1234" s="106" t="s">
        <v>3250</v>
      </c>
      <c r="Q1234" s="83"/>
      <c r="R1234" s="83" t="s">
        <v>77</v>
      </c>
      <c r="S1234" s="126"/>
      <c r="T1234" s="124" t="s">
        <v>3251</v>
      </c>
      <c r="U1234" s="166"/>
      <c r="V1234" s="83" t="s">
        <v>79</v>
      </c>
      <c r="W1234" s="166"/>
      <c r="X1234" s="83" t="s">
        <v>80</v>
      </c>
      <c r="Y1234" s="168"/>
      <c r="Z1234" s="119" t="s">
        <v>79</v>
      </c>
      <c r="AA1234" s="168"/>
      <c r="AB1234" s="83" t="s">
        <v>80</v>
      </c>
      <c r="AC1234" s="166"/>
      <c r="AD1234" s="106" t="s">
        <v>3252</v>
      </c>
      <c r="AE1234" s="20"/>
    </row>
    <row r="1235" spans="1:31" s="171" customFormat="1" ht="51">
      <c r="A1235" s="126"/>
      <c r="B1235" s="83" t="s">
        <v>3253</v>
      </c>
      <c r="C1235" s="126"/>
      <c r="D1235" s="106" t="s">
        <v>1515</v>
      </c>
      <c r="E1235" s="126"/>
      <c r="F1235" s="83" t="s">
        <v>254</v>
      </c>
      <c r="G1235" s="126"/>
      <c r="H1235" s="83" t="s">
        <v>654</v>
      </c>
      <c r="I1235" s="126"/>
      <c r="J1235" s="83" t="s">
        <v>299</v>
      </c>
      <c r="K1235" s="126"/>
      <c r="L1235" s="83" t="s">
        <v>737</v>
      </c>
      <c r="M1235" s="126"/>
      <c r="N1235" s="106" t="s">
        <v>96</v>
      </c>
      <c r="O1235" s="126"/>
      <c r="P1235" s="106" t="s">
        <v>3250</v>
      </c>
      <c r="Q1235" s="126"/>
      <c r="R1235" s="83" t="s">
        <v>77</v>
      </c>
      <c r="S1235" s="126"/>
      <c r="T1235" s="124" t="s">
        <v>3251</v>
      </c>
      <c r="U1235" s="166"/>
      <c r="V1235" s="83" t="s">
        <v>79</v>
      </c>
      <c r="W1235" s="166"/>
      <c r="X1235" s="83" t="s">
        <v>80</v>
      </c>
      <c r="Y1235" s="168"/>
      <c r="Z1235" s="119" t="s">
        <v>79</v>
      </c>
      <c r="AA1235" s="168"/>
      <c r="AB1235" s="83" t="s">
        <v>80</v>
      </c>
      <c r="AC1235" s="166"/>
      <c r="AD1235" s="106" t="s">
        <v>3252</v>
      </c>
      <c r="AE1235" s="20"/>
    </row>
    <row r="1236" spans="1:31" s="171" customFormat="1" ht="51">
      <c r="A1236" s="126"/>
      <c r="B1236" s="106" t="s">
        <v>3254</v>
      </c>
      <c r="C1236" s="172"/>
      <c r="D1236" s="106" t="s">
        <v>3255</v>
      </c>
      <c r="E1236" s="126"/>
      <c r="F1236" s="83" t="s">
        <v>254</v>
      </c>
      <c r="G1236" s="126"/>
      <c r="H1236" s="83" t="s">
        <v>654</v>
      </c>
      <c r="I1236" s="126"/>
      <c r="J1236" s="83" t="s">
        <v>299</v>
      </c>
      <c r="K1236" s="126"/>
      <c r="L1236" s="83" t="s">
        <v>737</v>
      </c>
      <c r="M1236" s="126"/>
      <c r="N1236" s="106" t="s">
        <v>96</v>
      </c>
      <c r="O1236" s="126"/>
      <c r="P1236" s="106" t="s">
        <v>3250</v>
      </c>
      <c r="Q1236" s="126"/>
      <c r="R1236" s="83" t="s">
        <v>77</v>
      </c>
      <c r="S1236" s="126"/>
      <c r="T1236" s="124" t="s">
        <v>3251</v>
      </c>
      <c r="U1236" s="166"/>
      <c r="V1236" s="83" t="s">
        <v>79</v>
      </c>
      <c r="W1236" s="166"/>
      <c r="X1236" s="83" t="s">
        <v>80</v>
      </c>
      <c r="Y1236" s="168"/>
      <c r="Z1236" s="119" t="s">
        <v>79</v>
      </c>
      <c r="AA1236" s="168"/>
      <c r="AB1236" s="83" t="s">
        <v>80</v>
      </c>
      <c r="AC1236" s="166"/>
      <c r="AD1236" s="106" t="s">
        <v>3252</v>
      </c>
    </row>
    <row r="1237" spans="1:31" s="171" customFormat="1" ht="51">
      <c r="A1237" s="126"/>
      <c r="B1237" s="106" t="s">
        <v>3256</v>
      </c>
      <c r="C1237" s="172"/>
      <c r="D1237" s="106" t="s">
        <v>3257</v>
      </c>
      <c r="E1237" s="126"/>
      <c r="F1237" s="83" t="s">
        <v>254</v>
      </c>
      <c r="G1237" s="126"/>
      <c r="H1237" s="83" t="s">
        <v>654</v>
      </c>
      <c r="I1237" s="126"/>
      <c r="J1237" s="83" t="s">
        <v>365</v>
      </c>
      <c r="K1237" s="126"/>
      <c r="L1237" s="83" t="s">
        <v>737</v>
      </c>
      <c r="M1237" s="126"/>
      <c r="N1237" s="106" t="s">
        <v>96</v>
      </c>
      <c r="O1237" s="172"/>
      <c r="P1237" s="106" t="s">
        <v>3250</v>
      </c>
      <c r="Q1237" s="126"/>
      <c r="R1237" s="83" t="s">
        <v>77</v>
      </c>
      <c r="S1237" s="126"/>
      <c r="T1237" s="124" t="s">
        <v>3251</v>
      </c>
      <c r="U1237" s="166"/>
      <c r="V1237" s="83" t="s">
        <v>79</v>
      </c>
      <c r="W1237" s="166"/>
      <c r="X1237" s="83" t="s">
        <v>80</v>
      </c>
      <c r="Y1237" s="168"/>
      <c r="Z1237" s="119" t="s">
        <v>79</v>
      </c>
      <c r="AA1237" s="168"/>
      <c r="AB1237" s="83" t="s">
        <v>80</v>
      </c>
      <c r="AC1237" s="166"/>
      <c r="AD1237" s="106" t="s">
        <v>3252</v>
      </c>
    </row>
    <row r="1238" spans="1:31" s="171" customFormat="1" ht="51">
      <c r="A1238" s="126"/>
      <c r="B1238" s="106" t="s">
        <v>3258</v>
      </c>
      <c r="C1238" s="172"/>
      <c r="D1238" s="106" t="s">
        <v>363</v>
      </c>
      <c r="E1238" s="126"/>
      <c r="F1238" s="23" t="s">
        <v>363</v>
      </c>
      <c r="G1238" s="126"/>
      <c r="H1238" s="83" t="s">
        <v>654</v>
      </c>
      <c r="I1238" s="126"/>
      <c r="J1238" s="83" t="s">
        <v>365</v>
      </c>
      <c r="K1238" s="126"/>
      <c r="L1238" s="83" t="s">
        <v>737</v>
      </c>
      <c r="M1238" s="126"/>
      <c r="N1238" s="106" t="s">
        <v>96</v>
      </c>
      <c r="O1238" s="172"/>
      <c r="P1238" s="106" t="s">
        <v>3250</v>
      </c>
      <c r="Q1238" s="126"/>
      <c r="R1238" s="83" t="s">
        <v>77</v>
      </c>
      <c r="S1238" s="126"/>
      <c r="T1238" s="124" t="s">
        <v>3251</v>
      </c>
      <c r="U1238" s="166"/>
      <c r="V1238" s="83" t="s">
        <v>79</v>
      </c>
      <c r="W1238" s="166"/>
      <c r="X1238" s="83" t="s">
        <v>80</v>
      </c>
      <c r="Y1238" s="168"/>
      <c r="Z1238" s="119" t="s">
        <v>79</v>
      </c>
      <c r="AA1238" s="168"/>
      <c r="AB1238" s="83" t="s">
        <v>80</v>
      </c>
      <c r="AC1238" s="166"/>
      <c r="AD1238" s="106" t="s">
        <v>3252</v>
      </c>
    </row>
    <row r="1239" spans="1:31" s="171" customFormat="1" ht="60" customHeight="1">
      <c r="A1239" s="126"/>
      <c r="B1239" s="106" t="s">
        <v>3259</v>
      </c>
      <c r="C1239" s="172"/>
      <c r="D1239" s="106" t="s">
        <v>370</v>
      </c>
      <c r="E1239" s="126"/>
      <c r="F1239" s="83" t="s">
        <v>370</v>
      </c>
      <c r="G1239" s="126"/>
      <c r="H1239" s="83" t="s">
        <v>654</v>
      </c>
      <c r="I1239" s="126"/>
      <c r="J1239" s="83" t="s">
        <v>3117</v>
      </c>
      <c r="K1239" s="126"/>
      <c r="L1239" s="83" t="s">
        <v>737</v>
      </c>
      <c r="M1239" s="126"/>
      <c r="N1239" s="106" t="s">
        <v>96</v>
      </c>
      <c r="O1239" s="172"/>
      <c r="P1239" s="106" t="s">
        <v>3250</v>
      </c>
      <c r="Q1239" s="126"/>
      <c r="R1239" s="83" t="s">
        <v>77</v>
      </c>
      <c r="S1239" s="126"/>
      <c r="T1239" s="124" t="s">
        <v>3251</v>
      </c>
      <c r="U1239" s="166"/>
      <c r="V1239" s="83" t="s">
        <v>79</v>
      </c>
      <c r="W1239" s="166"/>
      <c r="X1239" s="83" t="s">
        <v>80</v>
      </c>
      <c r="Y1239" s="168"/>
      <c r="Z1239" s="119" t="s">
        <v>79</v>
      </c>
      <c r="AA1239" s="168"/>
      <c r="AB1239" s="83" t="s">
        <v>80</v>
      </c>
      <c r="AC1239" s="166"/>
      <c r="AD1239" s="106" t="s">
        <v>3252</v>
      </c>
    </row>
    <row r="1240" spans="1:31" s="171" customFormat="1" ht="51">
      <c r="A1240" s="126"/>
      <c r="B1240" s="106" t="s">
        <v>3260</v>
      </c>
      <c r="C1240" s="172"/>
      <c r="D1240" s="106" t="s">
        <v>3261</v>
      </c>
      <c r="E1240" s="126"/>
      <c r="F1240" s="83" t="s">
        <v>254</v>
      </c>
      <c r="G1240" s="126"/>
      <c r="H1240" s="83" t="s">
        <v>654</v>
      </c>
      <c r="I1240" s="126"/>
      <c r="J1240" s="83" t="s">
        <v>3117</v>
      </c>
      <c r="K1240" s="126"/>
      <c r="L1240" s="83" t="s">
        <v>737</v>
      </c>
      <c r="M1240" s="126"/>
      <c r="N1240" s="106" t="s">
        <v>96</v>
      </c>
      <c r="O1240" s="172"/>
      <c r="P1240" s="106" t="s">
        <v>3250</v>
      </c>
      <c r="Q1240" s="126"/>
      <c r="R1240" s="83" t="s">
        <v>77</v>
      </c>
      <c r="S1240" s="126"/>
      <c r="T1240" s="124" t="s">
        <v>3251</v>
      </c>
      <c r="U1240" s="166"/>
      <c r="V1240" s="83" t="s">
        <v>79</v>
      </c>
      <c r="W1240" s="166"/>
      <c r="X1240" s="83" t="s">
        <v>80</v>
      </c>
      <c r="Y1240" s="168"/>
      <c r="Z1240" s="119" t="s">
        <v>79</v>
      </c>
      <c r="AA1240" s="168"/>
      <c r="AB1240" s="83" t="s">
        <v>80</v>
      </c>
      <c r="AC1240" s="166"/>
      <c r="AD1240" s="106" t="s">
        <v>3252</v>
      </c>
    </row>
    <row r="1241" spans="1:31" s="171" customFormat="1" ht="51">
      <c r="A1241" s="126"/>
      <c r="B1241" s="106" t="s">
        <v>3262</v>
      </c>
      <c r="C1241" s="172"/>
      <c r="D1241" s="106" t="s">
        <v>3263</v>
      </c>
      <c r="E1241" s="126"/>
      <c r="F1241" s="83" t="s">
        <v>254</v>
      </c>
      <c r="G1241" s="126"/>
      <c r="H1241" s="83" t="s">
        <v>654</v>
      </c>
      <c r="I1241" s="126"/>
      <c r="J1241" s="83" t="s">
        <v>3117</v>
      </c>
      <c r="K1241" s="126"/>
      <c r="L1241" s="83" t="s">
        <v>737</v>
      </c>
      <c r="M1241" s="126"/>
      <c r="N1241" s="106" t="s">
        <v>96</v>
      </c>
      <c r="O1241" s="172"/>
      <c r="P1241" s="106" t="s">
        <v>3250</v>
      </c>
      <c r="Q1241" s="126"/>
      <c r="R1241" s="83" t="s">
        <v>77</v>
      </c>
      <c r="S1241" s="126"/>
      <c r="T1241" s="124" t="s">
        <v>3251</v>
      </c>
      <c r="U1241" s="166"/>
      <c r="V1241" s="83" t="s">
        <v>79</v>
      </c>
      <c r="W1241" s="166"/>
      <c r="X1241" s="83" t="s">
        <v>80</v>
      </c>
      <c r="Y1241" s="168"/>
      <c r="Z1241" s="119" t="s">
        <v>79</v>
      </c>
      <c r="AA1241" s="168"/>
      <c r="AB1241" s="83" t="s">
        <v>80</v>
      </c>
      <c r="AC1241" s="166"/>
      <c r="AD1241" s="106" t="s">
        <v>3252</v>
      </c>
    </row>
    <row r="1242" spans="1:31" s="171" customFormat="1" ht="51">
      <c r="A1242" s="126"/>
      <c r="B1242" s="106" t="s">
        <v>3264</v>
      </c>
      <c r="C1242" s="172"/>
      <c r="D1242" s="106" t="s">
        <v>370</v>
      </c>
      <c r="E1242" s="126"/>
      <c r="F1242" s="83" t="s">
        <v>370</v>
      </c>
      <c r="G1242" s="126"/>
      <c r="H1242" s="83" t="s">
        <v>654</v>
      </c>
      <c r="I1242" s="126"/>
      <c r="J1242" s="83" t="s">
        <v>3117</v>
      </c>
      <c r="K1242" s="126"/>
      <c r="L1242" s="83" t="s">
        <v>737</v>
      </c>
      <c r="M1242" s="126"/>
      <c r="N1242" s="106" t="s">
        <v>96</v>
      </c>
      <c r="O1242" s="172"/>
      <c r="P1242" s="106" t="s">
        <v>3250</v>
      </c>
      <c r="Q1242" s="126"/>
      <c r="R1242" s="83" t="s">
        <v>77</v>
      </c>
      <c r="S1242" s="126"/>
      <c r="T1242" s="124" t="s">
        <v>3251</v>
      </c>
      <c r="U1242" s="166"/>
      <c r="V1242" s="83" t="s">
        <v>79</v>
      </c>
      <c r="W1242" s="166"/>
      <c r="X1242" s="83" t="s">
        <v>80</v>
      </c>
      <c r="Y1242" s="168"/>
      <c r="Z1242" s="119" t="s">
        <v>79</v>
      </c>
      <c r="AA1242" s="168"/>
      <c r="AB1242" s="83" t="s">
        <v>80</v>
      </c>
      <c r="AC1242" s="166"/>
      <c r="AD1242" s="106" t="s">
        <v>3252</v>
      </c>
    </row>
    <row r="1243" spans="1:31" s="171" customFormat="1" ht="51">
      <c r="A1243" s="126"/>
      <c r="B1243" s="106" t="s">
        <v>3265</v>
      </c>
      <c r="C1243" s="172"/>
      <c r="D1243" s="106" t="s">
        <v>702</v>
      </c>
      <c r="E1243" s="126"/>
      <c r="F1243" s="83" t="s">
        <v>370</v>
      </c>
      <c r="G1243" s="126"/>
      <c r="H1243" s="83" t="s">
        <v>654</v>
      </c>
      <c r="I1243" s="126"/>
      <c r="J1243" s="83" t="s">
        <v>3266</v>
      </c>
      <c r="K1243" s="126"/>
      <c r="L1243" s="83" t="s">
        <v>737</v>
      </c>
      <c r="M1243" s="126"/>
      <c r="N1243" s="106" t="s">
        <v>96</v>
      </c>
      <c r="O1243" s="172"/>
      <c r="P1243" s="106" t="s">
        <v>3250</v>
      </c>
      <c r="Q1243" s="126"/>
      <c r="R1243" s="83" t="s">
        <v>77</v>
      </c>
      <c r="S1243" s="126"/>
      <c r="T1243" s="124" t="s">
        <v>3251</v>
      </c>
      <c r="U1243" s="166"/>
      <c r="V1243" s="83" t="s">
        <v>79</v>
      </c>
      <c r="W1243" s="166"/>
      <c r="X1243" s="83" t="s">
        <v>80</v>
      </c>
      <c r="Y1243" s="168"/>
      <c r="Z1243" s="119" t="s">
        <v>79</v>
      </c>
      <c r="AA1243" s="168"/>
      <c r="AB1243" s="83" t="s">
        <v>80</v>
      </c>
      <c r="AC1243" s="166"/>
      <c r="AD1243" s="106" t="s">
        <v>3252</v>
      </c>
    </row>
    <row r="1244" spans="1:31" s="171" customFormat="1" ht="51">
      <c r="A1244" s="126"/>
      <c r="B1244" s="106" t="s">
        <v>3267</v>
      </c>
      <c r="C1244" s="172"/>
      <c r="D1244" s="106" t="s">
        <v>363</v>
      </c>
      <c r="E1244" s="126"/>
      <c r="F1244" s="23" t="s">
        <v>363</v>
      </c>
      <c r="G1244" s="126"/>
      <c r="H1244" s="83" t="s">
        <v>654</v>
      </c>
      <c r="I1244" s="126"/>
      <c r="J1244" s="83" t="s">
        <v>3266</v>
      </c>
      <c r="K1244" s="126"/>
      <c r="L1244" s="83" t="s">
        <v>737</v>
      </c>
      <c r="M1244" s="126"/>
      <c r="N1244" s="106" t="s">
        <v>96</v>
      </c>
      <c r="O1244" s="172"/>
      <c r="P1244" s="106" t="s">
        <v>3250</v>
      </c>
      <c r="Q1244" s="126"/>
      <c r="R1244" s="83" t="s">
        <v>77</v>
      </c>
      <c r="S1244" s="126"/>
      <c r="T1244" s="124" t="s">
        <v>3251</v>
      </c>
      <c r="U1244" s="166"/>
      <c r="V1244" s="83" t="s">
        <v>79</v>
      </c>
      <c r="W1244" s="166"/>
      <c r="X1244" s="83" t="s">
        <v>80</v>
      </c>
      <c r="Y1244" s="168"/>
      <c r="Z1244" s="119" t="s">
        <v>79</v>
      </c>
      <c r="AA1244" s="168"/>
      <c r="AB1244" s="83" t="s">
        <v>80</v>
      </c>
      <c r="AC1244" s="166"/>
      <c r="AD1244" s="106" t="s">
        <v>3252</v>
      </c>
    </row>
    <row r="1245" spans="1:31" s="171" customFormat="1" ht="51">
      <c r="A1245" s="126"/>
      <c r="B1245" s="106" t="s">
        <v>3268</v>
      </c>
      <c r="C1245" s="172"/>
      <c r="D1245" s="106" t="s">
        <v>71</v>
      </c>
      <c r="E1245" s="126"/>
      <c r="F1245" s="83" t="s">
        <v>71</v>
      </c>
      <c r="G1245" s="126"/>
      <c r="H1245" s="83" t="s">
        <v>654</v>
      </c>
      <c r="I1245" s="126"/>
      <c r="J1245" s="83" t="s">
        <v>3269</v>
      </c>
      <c r="K1245" s="126"/>
      <c r="L1245" s="83" t="s">
        <v>737</v>
      </c>
      <c r="M1245" s="126"/>
      <c r="N1245" s="106" t="s">
        <v>96</v>
      </c>
      <c r="O1245" s="172"/>
      <c r="P1245" s="106" t="s">
        <v>3250</v>
      </c>
      <c r="Q1245" s="126"/>
      <c r="R1245" s="83" t="s">
        <v>77</v>
      </c>
      <c r="S1245" s="126"/>
      <c r="T1245" s="124" t="s">
        <v>3251</v>
      </c>
      <c r="U1245" s="166"/>
      <c r="V1245" s="83" t="s">
        <v>79</v>
      </c>
      <c r="W1245" s="166"/>
      <c r="X1245" s="83" t="s">
        <v>80</v>
      </c>
      <c r="Y1245" s="168"/>
      <c r="Z1245" s="119" t="s">
        <v>79</v>
      </c>
      <c r="AA1245" s="168"/>
      <c r="AB1245" s="83" t="s">
        <v>80</v>
      </c>
      <c r="AC1245" s="166"/>
      <c r="AD1245" s="106" t="s">
        <v>3252</v>
      </c>
    </row>
    <row r="1246" spans="1:31" s="171" customFormat="1" ht="51">
      <c r="A1246" s="126"/>
      <c r="B1246" s="106" t="s">
        <v>3270</v>
      </c>
      <c r="C1246" s="172"/>
      <c r="D1246" s="106" t="s">
        <v>3271</v>
      </c>
      <c r="E1246" s="126"/>
      <c r="F1246" s="83" t="s">
        <v>254</v>
      </c>
      <c r="G1246" s="126"/>
      <c r="H1246" s="83" t="s">
        <v>654</v>
      </c>
      <c r="I1246" s="126"/>
      <c r="J1246" s="83" t="s">
        <v>3269</v>
      </c>
      <c r="K1246" s="126"/>
      <c r="L1246" s="83" t="s">
        <v>737</v>
      </c>
      <c r="M1246" s="126"/>
      <c r="N1246" s="106" t="s">
        <v>96</v>
      </c>
      <c r="O1246" s="172"/>
      <c r="P1246" s="106" t="s">
        <v>3250</v>
      </c>
      <c r="Q1246" s="126"/>
      <c r="R1246" s="83" t="s">
        <v>77</v>
      </c>
      <c r="S1246" s="126"/>
      <c r="T1246" s="124" t="s">
        <v>3251</v>
      </c>
      <c r="U1246" s="166"/>
      <c r="V1246" s="83" t="s">
        <v>79</v>
      </c>
      <c r="W1246" s="166"/>
      <c r="X1246" s="83" t="s">
        <v>80</v>
      </c>
      <c r="Y1246" s="168"/>
      <c r="Z1246" s="119" t="s">
        <v>79</v>
      </c>
      <c r="AA1246" s="168"/>
      <c r="AB1246" s="83" t="s">
        <v>80</v>
      </c>
      <c r="AC1246" s="166"/>
      <c r="AD1246" s="106" t="s">
        <v>3252</v>
      </c>
    </row>
    <row r="1247" spans="1:31" s="171" customFormat="1" ht="51">
      <c r="A1247" s="126"/>
      <c r="B1247" s="106" t="s">
        <v>3272</v>
      </c>
      <c r="C1247" s="172"/>
      <c r="D1247" s="106" t="s">
        <v>71</v>
      </c>
      <c r="E1247" s="126"/>
      <c r="F1247" s="83" t="s">
        <v>71</v>
      </c>
      <c r="G1247" s="126"/>
      <c r="H1247" s="83" t="s">
        <v>654</v>
      </c>
      <c r="I1247" s="126"/>
      <c r="J1247" s="83" t="s">
        <v>3273</v>
      </c>
      <c r="K1247" s="126"/>
      <c r="L1247" s="83" t="s">
        <v>737</v>
      </c>
      <c r="M1247" s="126"/>
      <c r="N1247" s="106" t="s">
        <v>96</v>
      </c>
      <c r="O1247" s="172"/>
      <c r="P1247" s="106" t="s">
        <v>3250</v>
      </c>
      <c r="Q1247" s="126"/>
      <c r="R1247" s="83" t="s">
        <v>77</v>
      </c>
      <c r="S1247" s="126"/>
      <c r="T1247" s="124" t="s">
        <v>3251</v>
      </c>
      <c r="U1247" s="166"/>
      <c r="V1247" s="83" t="s">
        <v>79</v>
      </c>
      <c r="W1247" s="166"/>
      <c r="X1247" s="83" t="s">
        <v>80</v>
      </c>
      <c r="Y1247" s="168"/>
      <c r="Z1247" s="119" t="s">
        <v>79</v>
      </c>
      <c r="AA1247" s="168"/>
      <c r="AB1247" s="83" t="s">
        <v>80</v>
      </c>
      <c r="AC1247" s="166"/>
      <c r="AD1247" s="106" t="s">
        <v>3252</v>
      </c>
    </row>
    <row r="1248" spans="1:31" s="171" customFormat="1" ht="51">
      <c r="A1248" s="126"/>
      <c r="B1248" s="106" t="s">
        <v>3274</v>
      </c>
      <c r="C1248" s="172"/>
      <c r="D1248" s="106" t="s">
        <v>3275</v>
      </c>
      <c r="E1248" s="126"/>
      <c r="F1248" s="83" t="s">
        <v>254</v>
      </c>
      <c r="G1248" s="126"/>
      <c r="H1248" s="83" t="s">
        <v>654</v>
      </c>
      <c r="I1248" s="126"/>
      <c r="J1248" s="83" t="s">
        <v>3273</v>
      </c>
      <c r="K1248" s="126"/>
      <c r="L1248" s="83" t="s">
        <v>737</v>
      </c>
      <c r="M1248" s="126"/>
      <c r="N1248" s="106" t="s">
        <v>96</v>
      </c>
      <c r="O1248" s="172"/>
      <c r="P1248" s="106" t="s">
        <v>3250</v>
      </c>
      <c r="Q1248" s="126"/>
      <c r="R1248" s="83" t="s">
        <v>77</v>
      </c>
      <c r="S1248" s="126"/>
      <c r="T1248" s="124" t="s">
        <v>3251</v>
      </c>
      <c r="U1248" s="166"/>
      <c r="V1248" s="83" t="s">
        <v>79</v>
      </c>
      <c r="W1248" s="166"/>
      <c r="X1248" s="83" t="s">
        <v>80</v>
      </c>
      <c r="Y1248" s="168"/>
      <c r="Z1248" s="119" t="s">
        <v>79</v>
      </c>
      <c r="AA1248" s="168"/>
      <c r="AB1248" s="83" t="s">
        <v>80</v>
      </c>
      <c r="AC1248" s="166"/>
      <c r="AD1248" s="106" t="s">
        <v>3252</v>
      </c>
    </row>
    <row r="1249" spans="1:31" s="171" customFormat="1" ht="51">
      <c r="A1249" s="126"/>
      <c r="B1249" s="106" t="s">
        <v>3276</v>
      </c>
      <c r="C1249" s="172"/>
      <c r="D1249" s="106" t="s">
        <v>3277</v>
      </c>
      <c r="E1249" s="126"/>
      <c r="F1249" s="83" t="s">
        <v>254</v>
      </c>
      <c r="G1249" s="126"/>
      <c r="H1249" s="83" t="s">
        <v>654</v>
      </c>
      <c r="I1249" s="126"/>
      <c r="J1249" s="83" t="s">
        <v>306</v>
      </c>
      <c r="K1249" s="126"/>
      <c r="L1249" s="83" t="s">
        <v>737</v>
      </c>
      <c r="M1249" s="126"/>
      <c r="N1249" s="106" t="s">
        <v>96</v>
      </c>
      <c r="O1249" s="172"/>
      <c r="P1249" s="106" t="s">
        <v>3250</v>
      </c>
      <c r="Q1249" s="126"/>
      <c r="R1249" s="83" t="s">
        <v>77</v>
      </c>
      <c r="S1249" s="126"/>
      <c r="T1249" s="124" t="s">
        <v>3251</v>
      </c>
      <c r="U1249" s="166"/>
      <c r="V1249" s="83" t="s">
        <v>79</v>
      </c>
      <c r="W1249" s="166"/>
      <c r="X1249" s="83" t="s">
        <v>80</v>
      </c>
      <c r="Y1249" s="168"/>
      <c r="Z1249" s="119" t="s">
        <v>79</v>
      </c>
      <c r="AA1249" s="168"/>
      <c r="AB1249" s="83" t="s">
        <v>80</v>
      </c>
      <c r="AC1249" s="166"/>
      <c r="AD1249" s="106" t="s">
        <v>3252</v>
      </c>
    </row>
    <row r="1250" spans="1:31" s="171" customFormat="1" ht="51">
      <c r="A1250" s="126"/>
      <c r="B1250" s="106" t="s">
        <v>3278</v>
      </c>
      <c r="C1250" s="172"/>
      <c r="D1250" s="106" t="s">
        <v>3279</v>
      </c>
      <c r="E1250" s="126"/>
      <c r="F1250" s="83" t="s">
        <v>123</v>
      </c>
      <c r="G1250" s="126"/>
      <c r="H1250" s="83" t="s">
        <v>654</v>
      </c>
      <c r="I1250" s="126"/>
      <c r="J1250" s="83" t="s">
        <v>306</v>
      </c>
      <c r="K1250" s="126"/>
      <c r="L1250" s="83" t="s">
        <v>737</v>
      </c>
      <c r="M1250" s="126"/>
      <c r="N1250" s="106" t="s">
        <v>96</v>
      </c>
      <c r="O1250" s="172"/>
      <c r="P1250" s="106" t="s">
        <v>3250</v>
      </c>
      <c r="Q1250" s="126"/>
      <c r="R1250" s="83" t="s">
        <v>77</v>
      </c>
      <c r="S1250" s="126"/>
      <c r="T1250" s="124" t="s">
        <v>3251</v>
      </c>
      <c r="U1250" s="166"/>
      <c r="V1250" s="83" t="s">
        <v>79</v>
      </c>
      <c r="W1250" s="166"/>
      <c r="X1250" s="83" t="s">
        <v>80</v>
      </c>
      <c r="Y1250" s="168"/>
      <c r="Z1250" s="119" t="s">
        <v>79</v>
      </c>
      <c r="AA1250" s="168"/>
      <c r="AB1250" s="83" t="s">
        <v>80</v>
      </c>
      <c r="AC1250" s="166"/>
      <c r="AD1250" s="106" t="s">
        <v>3252</v>
      </c>
    </row>
    <row r="1251" spans="1:31" s="171" customFormat="1" ht="51">
      <c r="A1251" s="126"/>
      <c r="B1251" s="106" t="s">
        <v>3280</v>
      </c>
      <c r="C1251" s="172"/>
      <c r="D1251" s="106" t="s">
        <v>363</v>
      </c>
      <c r="E1251" s="126"/>
      <c r="F1251" s="23" t="s">
        <v>363</v>
      </c>
      <c r="G1251" s="126"/>
      <c r="H1251" s="83" t="s">
        <v>654</v>
      </c>
      <c r="I1251" s="126"/>
      <c r="J1251" s="83" t="s">
        <v>306</v>
      </c>
      <c r="K1251" s="126"/>
      <c r="L1251" s="83" t="s">
        <v>737</v>
      </c>
      <c r="M1251" s="126"/>
      <c r="N1251" s="106" t="s">
        <v>96</v>
      </c>
      <c r="O1251" s="172"/>
      <c r="P1251" s="106" t="s">
        <v>3250</v>
      </c>
      <c r="Q1251" s="126"/>
      <c r="R1251" s="83" t="s">
        <v>77</v>
      </c>
      <c r="S1251" s="126"/>
      <c r="T1251" s="124" t="s">
        <v>3251</v>
      </c>
      <c r="U1251" s="166"/>
      <c r="V1251" s="83" t="s">
        <v>79</v>
      </c>
      <c r="W1251" s="166"/>
      <c r="X1251" s="83" t="s">
        <v>80</v>
      </c>
      <c r="Y1251" s="168"/>
      <c r="Z1251" s="119" t="s">
        <v>79</v>
      </c>
      <c r="AA1251" s="168"/>
      <c r="AB1251" s="83" t="s">
        <v>80</v>
      </c>
      <c r="AC1251" s="166"/>
      <c r="AD1251" s="106" t="s">
        <v>3252</v>
      </c>
    </row>
    <row r="1252" spans="1:31" s="177" customFormat="1" ht="51">
      <c r="A1252" s="138"/>
      <c r="B1252" s="146" t="s">
        <v>3281</v>
      </c>
      <c r="C1252" s="173"/>
      <c r="D1252" s="146" t="s">
        <v>71</v>
      </c>
      <c r="E1252" s="138"/>
      <c r="F1252" s="148" t="s">
        <v>71</v>
      </c>
      <c r="G1252" s="138"/>
      <c r="H1252" s="148" t="s">
        <v>654</v>
      </c>
      <c r="I1252" s="138"/>
      <c r="J1252" s="148" t="s">
        <v>3282</v>
      </c>
      <c r="K1252" s="138"/>
      <c r="L1252" s="148" t="s">
        <v>737</v>
      </c>
      <c r="M1252" s="138"/>
      <c r="N1252" s="146" t="s">
        <v>96</v>
      </c>
      <c r="O1252" s="173"/>
      <c r="P1252" s="146" t="s">
        <v>3250</v>
      </c>
      <c r="Q1252" s="138"/>
      <c r="R1252" s="148" t="s">
        <v>77</v>
      </c>
      <c r="S1252" s="138"/>
      <c r="T1252" s="174" t="s">
        <v>3251</v>
      </c>
      <c r="U1252" s="175"/>
      <c r="V1252" s="83" t="s">
        <v>79</v>
      </c>
      <c r="W1252" s="166"/>
      <c r="X1252" s="83" t="s">
        <v>80</v>
      </c>
      <c r="Y1252" s="176"/>
      <c r="Z1252" s="119" t="s">
        <v>79</v>
      </c>
      <c r="AA1252" s="168"/>
      <c r="AB1252" s="83" t="s">
        <v>80</v>
      </c>
      <c r="AC1252" s="175"/>
      <c r="AD1252" s="106" t="s">
        <v>3252</v>
      </c>
      <c r="AE1252" s="171"/>
    </row>
    <row r="1253" spans="1:31" s="171" customFormat="1" ht="51">
      <c r="A1253" s="126"/>
      <c r="B1253" s="106" t="s">
        <v>3283</v>
      </c>
      <c r="C1253" s="172"/>
      <c r="D1253" s="106" t="s">
        <v>1612</v>
      </c>
      <c r="E1253" s="126"/>
      <c r="F1253" s="83" t="s">
        <v>254</v>
      </c>
      <c r="G1253" s="126"/>
      <c r="H1253" s="83" t="s">
        <v>654</v>
      </c>
      <c r="I1253" s="126"/>
      <c r="J1253" s="83" t="s">
        <v>3282</v>
      </c>
      <c r="K1253" s="126"/>
      <c r="L1253" s="83" t="s">
        <v>737</v>
      </c>
      <c r="M1253" s="126"/>
      <c r="N1253" s="106" t="s">
        <v>96</v>
      </c>
      <c r="O1253" s="172"/>
      <c r="P1253" s="106" t="s">
        <v>3250</v>
      </c>
      <c r="Q1253" s="126"/>
      <c r="R1253" s="83" t="s">
        <v>77</v>
      </c>
      <c r="S1253" s="126"/>
      <c r="T1253" s="124" t="s">
        <v>3251</v>
      </c>
      <c r="U1253" s="166"/>
      <c r="V1253" s="83" t="s">
        <v>79</v>
      </c>
      <c r="W1253" s="166"/>
      <c r="X1253" s="83" t="s">
        <v>80</v>
      </c>
      <c r="Y1253" s="168"/>
      <c r="Z1253" s="119" t="s">
        <v>79</v>
      </c>
      <c r="AA1253" s="168"/>
      <c r="AB1253" s="83" t="s">
        <v>80</v>
      </c>
      <c r="AC1253" s="166"/>
      <c r="AD1253" s="106" t="s">
        <v>3252</v>
      </c>
    </row>
    <row r="1254" spans="1:31" s="171" customFormat="1" ht="51">
      <c r="A1254" s="126"/>
      <c r="B1254" s="106" t="s">
        <v>3284</v>
      </c>
      <c r="C1254" s="172"/>
      <c r="D1254" s="106" t="s">
        <v>3285</v>
      </c>
      <c r="E1254" s="126"/>
      <c r="F1254" s="83" t="s">
        <v>254</v>
      </c>
      <c r="G1254" s="126"/>
      <c r="H1254" s="83" t="s">
        <v>654</v>
      </c>
      <c r="I1254" s="126"/>
      <c r="J1254" s="83" t="s">
        <v>3282</v>
      </c>
      <c r="K1254" s="126"/>
      <c r="L1254" s="83" t="s">
        <v>737</v>
      </c>
      <c r="M1254" s="126"/>
      <c r="N1254" s="106" t="s">
        <v>96</v>
      </c>
      <c r="O1254" s="172"/>
      <c r="P1254" s="106" t="s">
        <v>3250</v>
      </c>
      <c r="Q1254" s="126"/>
      <c r="R1254" s="83" t="s">
        <v>77</v>
      </c>
      <c r="S1254" s="126"/>
      <c r="T1254" s="124" t="s">
        <v>3251</v>
      </c>
      <c r="U1254" s="166"/>
      <c r="V1254" s="83" t="s">
        <v>79</v>
      </c>
      <c r="W1254" s="166"/>
      <c r="X1254" s="83" t="s">
        <v>80</v>
      </c>
      <c r="Y1254" s="168"/>
      <c r="Z1254" s="119" t="s">
        <v>79</v>
      </c>
      <c r="AA1254" s="168"/>
      <c r="AB1254" s="83" t="s">
        <v>80</v>
      </c>
      <c r="AC1254" s="166"/>
      <c r="AD1254" s="106" t="s">
        <v>3252</v>
      </c>
      <c r="AE1254" s="177"/>
    </row>
    <row r="1255" spans="1:31" s="171" customFormat="1" ht="51">
      <c r="A1255" s="126"/>
      <c r="B1255" s="106" t="s">
        <v>3286</v>
      </c>
      <c r="C1255" s="172"/>
      <c r="D1255" s="106" t="s">
        <v>3287</v>
      </c>
      <c r="E1255" s="126"/>
      <c r="F1255" s="83" t="s">
        <v>254</v>
      </c>
      <c r="G1255" s="126"/>
      <c r="H1255" s="83" t="s">
        <v>654</v>
      </c>
      <c r="I1255" s="126"/>
      <c r="J1255" s="83" t="s">
        <v>3282</v>
      </c>
      <c r="K1255" s="126"/>
      <c r="L1255" s="83" t="s">
        <v>737</v>
      </c>
      <c r="M1255" s="126"/>
      <c r="N1255" s="106" t="s">
        <v>96</v>
      </c>
      <c r="O1255" s="172"/>
      <c r="P1255" s="106" t="s">
        <v>3250</v>
      </c>
      <c r="Q1255" s="126"/>
      <c r="R1255" s="83" t="s">
        <v>77</v>
      </c>
      <c r="S1255" s="126"/>
      <c r="T1255" s="124" t="s">
        <v>3251</v>
      </c>
      <c r="U1255" s="166"/>
      <c r="V1255" s="83" t="s">
        <v>79</v>
      </c>
      <c r="W1255" s="166"/>
      <c r="X1255" s="83" t="s">
        <v>80</v>
      </c>
      <c r="Y1255" s="168"/>
      <c r="Z1255" s="119" t="s">
        <v>79</v>
      </c>
      <c r="AA1255" s="168"/>
      <c r="AB1255" s="83" t="s">
        <v>80</v>
      </c>
      <c r="AC1255" s="166"/>
      <c r="AD1255" s="106" t="s">
        <v>3252</v>
      </c>
    </row>
    <row r="1256" spans="1:31" s="171" customFormat="1" ht="51">
      <c r="A1256" s="126"/>
      <c r="B1256" s="106" t="s">
        <v>3288</v>
      </c>
      <c r="C1256" s="172"/>
      <c r="D1256" s="106" t="s">
        <v>3285</v>
      </c>
      <c r="E1256" s="126"/>
      <c r="F1256" s="83" t="s">
        <v>254</v>
      </c>
      <c r="G1256" s="126"/>
      <c r="H1256" s="83" t="s">
        <v>654</v>
      </c>
      <c r="I1256" s="126"/>
      <c r="J1256" s="83" t="s">
        <v>3282</v>
      </c>
      <c r="K1256" s="126"/>
      <c r="L1256" s="83" t="s">
        <v>737</v>
      </c>
      <c r="M1256" s="126"/>
      <c r="N1256" s="106" t="s">
        <v>96</v>
      </c>
      <c r="O1256" s="172"/>
      <c r="P1256" s="106" t="s">
        <v>3250</v>
      </c>
      <c r="Q1256" s="126"/>
      <c r="R1256" s="83" t="s">
        <v>77</v>
      </c>
      <c r="S1256" s="126"/>
      <c r="T1256" s="124" t="s">
        <v>3251</v>
      </c>
      <c r="U1256" s="166"/>
      <c r="V1256" s="83" t="s">
        <v>79</v>
      </c>
      <c r="W1256" s="166"/>
      <c r="X1256" s="83" t="s">
        <v>80</v>
      </c>
      <c r="Y1256" s="168"/>
      <c r="Z1256" s="119" t="s">
        <v>79</v>
      </c>
      <c r="AA1256" s="168"/>
      <c r="AB1256" s="83" t="s">
        <v>80</v>
      </c>
      <c r="AC1256" s="166"/>
      <c r="AD1256" s="106" t="s">
        <v>3252</v>
      </c>
    </row>
    <row r="1257" spans="1:31" s="171" customFormat="1" ht="51">
      <c r="A1257" s="126"/>
      <c r="B1257" s="106" t="s">
        <v>3289</v>
      </c>
      <c r="C1257" s="172"/>
      <c r="D1257" s="106" t="s">
        <v>3285</v>
      </c>
      <c r="E1257" s="126"/>
      <c r="F1257" s="83" t="s">
        <v>254</v>
      </c>
      <c r="G1257" s="126"/>
      <c r="H1257" s="83" t="s">
        <v>654</v>
      </c>
      <c r="I1257" s="126"/>
      <c r="J1257" s="83" t="s">
        <v>3282</v>
      </c>
      <c r="K1257" s="126"/>
      <c r="L1257" s="83" t="s">
        <v>737</v>
      </c>
      <c r="M1257" s="126"/>
      <c r="N1257" s="106" t="s">
        <v>96</v>
      </c>
      <c r="O1257" s="172"/>
      <c r="P1257" s="106" t="s">
        <v>3250</v>
      </c>
      <c r="Q1257" s="126"/>
      <c r="R1257" s="83" t="s">
        <v>77</v>
      </c>
      <c r="S1257" s="126"/>
      <c r="T1257" s="124" t="s">
        <v>3251</v>
      </c>
      <c r="U1257" s="166"/>
      <c r="V1257" s="83" t="s">
        <v>79</v>
      </c>
      <c r="W1257" s="166"/>
      <c r="X1257" s="83" t="s">
        <v>80</v>
      </c>
      <c r="Y1257" s="168"/>
      <c r="Z1257" s="119" t="s">
        <v>79</v>
      </c>
      <c r="AA1257" s="168"/>
      <c r="AB1257" s="83" t="s">
        <v>80</v>
      </c>
      <c r="AC1257" s="166"/>
      <c r="AD1257" s="106" t="s">
        <v>3252</v>
      </c>
    </row>
    <row r="1258" spans="1:31" s="171" customFormat="1" ht="51">
      <c r="A1258" s="126"/>
      <c r="B1258" s="106" t="s">
        <v>3290</v>
      </c>
      <c r="C1258" s="172"/>
      <c r="D1258" s="106" t="s">
        <v>3285</v>
      </c>
      <c r="E1258" s="126"/>
      <c r="F1258" s="83" t="s">
        <v>254</v>
      </c>
      <c r="G1258" s="126"/>
      <c r="H1258" s="83" t="s">
        <v>654</v>
      </c>
      <c r="I1258" s="126"/>
      <c r="J1258" s="83" t="s">
        <v>3282</v>
      </c>
      <c r="K1258" s="126"/>
      <c r="L1258" s="83" t="s">
        <v>737</v>
      </c>
      <c r="M1258" s="126"/>
      <c r="N1258" s="106" t="s">
        <v>96</v>
      </c>
      <c r="O1258" s="172"/>
      <c r="P1258" s="106" t="s">
        <v>3250</v>
      </c>
      <c r="Q1258" s="126"/>
      <c r="R1258" s="83" t="s">
        <v>77</v>
      </c>
      <c r="S1258" s="126"/>
      <c r="T1258" s="124" t="s">
        <v>3251</v>
      </c>
      <c r="U1258" s="166"/>
      <c r="V1258" s="83" t="s">
        <v>79</v>
      </c>
      <c r="W1258" s="166"/>
      <c r="X1258" s="83" t="s">
        <v>80</v>
      </c>
      <c r="Y1258" s="168"/>
      <c r="Z1258" s="119" t="s">
        <v>79</v>
      </c>
      <c r="AA1258" s="168"/>
      <c r="AB1258" s="83" t="s">
        <v>80</v>
      </c>
      <c r="AC1258" s="166"/>
      <c r="AD1258" s="106" t="s">
        <v>3252</v>
      </c>
    </row>
    <row r="1259" spans="1:31" s="171" customFormat="1" ht="51">
      <c r="A1259" s="126"/>
      <c r="B1259" s="106" t="s">
        <v>3291</v>
      </c>
      <c r="C1259" s="172"/>
      <c r="D1259" s="106" t="s">
        <v>3285</v>
      </c>
      <c r="E1259" s="126"/>
      <c r="F1259" s="83" t="s">
        <v>254</v>
      </c>
      <c r="G1259" s="126"/>
      <c r="H1259" s="83" t="s">
        <v>654</v>
      </c>
      <c r="I1259" s="126"/>
      <c r="J1259" s="83" t="s">
        <v>3282</v>
      </c>
      <c r="K1259" s="126"/>
      <c r="L1259" s="83" t="s">
        <v>737</v>
      </c>
      <c r="M1259" s="126"/>
      <c r="N1259" s="106" t="s">
        <v>96</v>
      </c>
      <c r="O1259" s="172"/>
      <c r="P1259" s="106" t="s">
        <v>3250</v>
      </c>
      <c r="Q1259" s="126"/>
      <c r="R1259" s="83" t="s">
        <v>77</v>
      </c>
      <c r="S1259" s="126"/>
      <c r="T1259" s="124" t="s">
        <v>3251</v>
      </c>
      <c r="U1259" s="166"/>
      <c r="V1259" s="83" t="s">
        <v>79</v>
      </c>
      <c r="W1259" s="166"/>
      <c r="X1259" s="83" t="s">
        <v>80</v>
      </c>
      <c r="Y1259" s="168"/>
      <c r="Z1259" s="119" t="s">
        <v>79</v>
      </c>
      <c r="AA1259" s="168"/>
      <c r="AB1259" s="83" t="s">
        <v>80</v>
      </c>
      <c r="AC1259" s="166"/>
      <c r="AD1259" s="106" t="s">
        <v>3252</v>
      </c>
    </row>
    <row r="1260" spans="1:31" s="171" customFormat="1" ht="51">
      <c r="A1260" s="126"/>
      <c r="B1260" s="106" t="s">
        <v>3292</v>
      </c>
      <c r="C1260" s="172"/>
      <c r="D1260" s="106" t="s">
        <v>3285</v>
      </c>
      <c r="E1260" s="126"/>
      <c r="F1260" s="83" t="s">
        <v>254</v>
      </c>
      <c r="G1260" s="126"/>
      <c r="H1260" s="83" t="s">
        <v>654</v>
      </c>
      <c r="I1260" s="126"/>
      <c r="J1260" s="83" t="s">
        <v>3282</v>
      </c>
      <c r="K1260" s="126"/>
      <c r="L1260" s="83" t="s">
        <v>737</v>
      </c>
      <c r="M1260" s="126"/>
      <c r="N1260" s="106" t="s">
        <v>96</v>
      </c>
      <c r="O1260" s="172"/>
      <c r="P1260" s="106" t="s">
        <v>3250</v>
      </c>
      <c r="Q1260" s="126"/>
      <c r="R1260" s="83" t="s">
        <v>77</v>
      </c>
      <c r="S1260" s="126"/>
      <c r="T1260" s="124" t="s">
        <v>3251</v>
      </c>
      <c r="U1260" s="166"/>
      <c r="V1260" s="83" t="s">
        <v>79</v>
      </c>
      <c r="W1260" s="166"/>
      <c r="X1260" s="83" t="s">
        <v>80</v>
      </c>
      <c r="Y1260" s="168"/>
      <c r="Z1260" s="119" t="s">
        <v>79</v>
      </c>
      <c r="AA1260" s="168"/>
      <c r="AB1260" s="83" t="s">
        <v>80</v>
      </c>
      <c r="AC1260" s="166"/>
      <c r="AD1260" s="106" t="s">
        <v>3252</v>
      </c>
    </row>
    <row r="1261" spans="1:31" s="171" customFormat="1" ht="51">
      <c r="A1261" s="126"/>
      <c r="B1261" s="106" t="s">
        <v>3293</v>
      </c>
      <c r="C1261" s="172"/>
      <c r="D1261" s="106" t="s">
        <v>3294</v>
      </c>
      <c r="E1261" s="126"/>
      <c r="F1261" s="83" t="s">
        <v>254</v>
      </c>
      <c r="G1261" s="126"/>
      <c r="H1261" s="83" t="s">
        <v>654</v>
      </c>
      <c r="I1261" s="126"/>
      <c r="J1261" s="83" t="s">
        <v>3282</v>
      </c>
      <c r="K1261" s="126"/>
      <c r="L1261" s="83" t="s">
        <v>737</v>
      </c>
      <c r="M1261" s="126"/>
      <c r="N1261" s="106" t="s">
        <v>96</v>
      </c>
      <c r="O1261" s="172"/>
      <c r="P1261" s="106" t="s">
        <v>3250</v>
      </c>
      <c r="Q1261" s="126"/>
      <c r="R1261" s="83" t="s">
        <v>77</v>
      </c>
      <c r="S1261" s="126"/>
      <c r="T1261" s="124" t="s">
        <v>3251</v>
      </c>
      <c r="U1261" s="166"/>
      <c r="V1261" s="83" t="s">
        <v>79</v>
      </c>
      <c r="W1261" s="166"/>
      <c r="X1261" s="83" t="s">
        <v>80</v>
      </c>
      <c r="Y1261" s="168"/>
      <c r="Z1261" s="119" t="s">
        <v>79</v>
      </c>
      <c r="AA1261" s="168"/>
      <c r="AB1261" s="83" t="s">
        <v>80</v>
      </c>
      <c r="AC1261" s="166"/>
      <c r="AD1261" s="106" t="s">
        <v>3252</v>
      </c>
    </row>
    <row r="1262" spans="1:31" s="171" customFormat="1" ht="51">
      <c r="A1262" s="126"/>
      <c r="B1262" s="106" t="s">
        <v>3295</v>
      </c>
      <c r="C1262" s="172"/>
      <c r="D1262" s="106" t="s">
        <v>1515</v>
      </c>
      <c r="E1262" s="126"/>
      <c r="F1262" s="83" t="s">
        <v>254</v>
      </c>
      <c r="G1262" s="126"/>
      <c r="H1262" s="83" t="s">
        <v>654</v>
      </c>
      <c r="I1262" s="126"/>
      <c r="J1262" s="83" t="s">
        <v>3282</v>
      </c>
      <c r="K1262" s="126"/>
      <c r="L1262" s="83" t="s">
        <v>737</v>
      </c>
      <c r="M1262" s="126"/>
      <c r="N1262" s="106" t="s">
        <v>96</v>
      </c>
      <c r="O1262" s="172"/>
      <c r="P1262" s="106" t="s">
        <v>3250</v>
      </c>
      <c r="Q1262" s="126"/>
      <c r="R1262" s="83" t="s">
        <v>77</v>
      </c>
      <c r="S1262" s="126"/>
      <c r="T1262" s="124" t="s">
        <v>3251</v>
      </c>
      <c r="U1262" s="166"/>
      <c r="V1262" s="83" t="s">
        <v>79</v>
      </c>
      <c r="W1262" s="166"/>
      <c r="X1262" s="83" t="s">
        <v>80</v>
      </c>
      <c r="Y1262" s="168"/>
      <c r="Z1262" s="119" t="s">
        <v>79</v>
      </c>
      <c r="AA1262" s="168"/>
      <c r="AB1262" s="83" t="s">
        <v>80</v>
      </c>
      <c r="AC1262" s="166"/>
      <c r="AD1262" s="106" t="s">
        <v>3252</v>
      </c>
    </row>
    <row r="1263" spans="1:31" s="171" customFormat="1" ht="51">
      <c r="A1263" s="126"/>
      <c r="B1263" s="106" t="s">
        <v>3296</v>
      </c>
      <c r="C1263" s="172"/>
      <c r="D1263" s="106" t="s">
        <v>3297</v>
      </c>
      <c r="E1263" s="126"/>
      <c r="F1263" s="83" t="s">
        <v>254</v>
      </c>
      <c r="G1263" s="126"/>
      <c r="H1263" s="83" t="s">
        <v>654</v>
      </c>
      <c r="I1263" s="126"/>
      <c r="J1263" s="83" t="s">
        <v>3282</v>
      </c>
      <c r="K1263" s="126"/>
      <c r="L1263" s="83" t="s">
        <v>737</v>
      </c>
      <c r="M1263" s="126"/>
      <c r="N1263" s="106" t="s">
        <v>96</v>
      </c>
      <c r="O1263" s="172"/>
      <c r="P1263" s="106" t="s">
        <v>3250</v>
      </c>
      <c r="Q1263" s="126"/>
      <c r="R1263" s="83" t="s">
        <v>77</v>
      </c>
      <c r="S1263" s="126"/>
      <c r="T1263" s="124" t="s">
        <v>3251</v>
      </c>
      <c r="U1263" s="166"/>
      <c r="V1263" s="83" t="s">
        <v>79</v>
      </c>
      <c r="W1263" s="166"/>
      <c r="X1263" s="83" t="s">
        <v>80</v>
      </c>
      <c r="Y1263" s="168"/>
      <c r="Z1263" s="119" t="s">
        <v>79</v>
      </c>
      <c r="AA1263" s="168"/>
      <c r="AB1263" s="83" t="s">
        <v>80</v>
      </c>
      <c r="AC1263" s="166"/>
      <c r="AD1263" s="106" t="s">
        <v>3252</v>
      </c>
    </row>
    <row r="1264" spans="1:31" s="171" customFormat="1" ht="51">
      <c r="A1264" s="126"/>
      <c r="B1264" s="106" t="s">
        <v>3298</v>
      </c>
      <c r="C1264" s="172"/>
      <c r="D1264" s="106" t="s">
        <v>3299</v>
      </c>
      <c r="E1264" s="126"/>
      <c r="F1264" s="83" t="s">
        <v>254</v>
      </c>
      <c r="G1264" s="126"/>
      <c r="H1264" s="83" t="s">
        <v>654</v>
      </c>
      <c r="I1264" s="126"/>
      <c r="J1264" s="83" t="s">
        <v>3282</v>
      </c>
      <c r="K1264" s="126"/>
      <c r="L1264" s="83" t="s">
        <v>737</v>
      </c>
      <c r="M1264" s="126"/>
      <c r="N1264" s="106" t="s">
        <v>96</v>
      </c>
      <c r="O1264" s="172"/>
      <c r="P1264" s="106" t="s">
        <v>3250</v>
      </c>
      <c r="Q1264" s="126"/>
      <c r="R1264" s="83" t="s">
        <v>77</v>
      </c>
      <c r="S1264" s="126"/>
      <c r="T1264" s="124" t="s">
        <v>3251</v>
      </c>
      <c r="U1264" s="166"/>
      <c r="V1264" s="83" t="s">
        <v>79</v>
      </c>
      <c r="W1264" s="166"/>
      <c r="X1264" s="83" t="s">
        <v>80</v>
      </c>
      <c r="Y1264" s="168"/>
      <c r="Z1264" s="119" t="s">
        <v>79</v>
      </c>
      <c r="AA1264" s="168"/>
      <c r="AB1264" s="83" t="s">
        <v>80</v>
      </c>
      <c r="AC1264" s="166"/>
      <c r="AD1264" s="106" t="s">
        <v>3252</v>
      </c>
    </row>
    <row r="1265" spans="1:31" s="171" customFormat="1" ht="51">
      <c r="A1265" s="126"/>
      <c r="B1265" s="106" t="s">
        <v>3300</v>
      </c>
      <c r="C1265" s="172"/>
      <c r="D1265" s="106" t="s">
        <v>3285</v>
      </c>
      <c r="E1265" s="126"/>
      <c r="F1265" s="83" t="s">
        <v>254</v>
      </c>
      <c r="G1265" s="126"/>
      <c r="H1265" s="83" t="s">
        <v>654</v>
      </c>
      <c r="I1265" s="126"/>
      <c r="J1265" s="83" t="s">
        <v>3282</v>
      </c>
      <c r="K1265" s="126"/>
      <c r="L1265" s="83" t="s">
        <v>737</v>
      </c>
      <c r="M1265" s="126"/>
      <c r="N1265" s="106" t="s">
        <v>96</v>
      </c>
      <c r="O1265" s="172"/>
      <c r="P1265" s="106" t="s">
        <v>3250</v>
      </c>
      <c r="Q1265" s="126"/>
      <c r="R1265" s="83" t="s">
        <v>77</v>
      </c>
      <c r="S1265" s="126"/>
      <c r="T1265" s="124" t="s">
        <v>3251</v>
      </c>
      <c r="U1265" s="166"/>
      <c r="V1265" s="83" t="s">
        <v>79</v>
      </c>
      <c r="W1265" s="166"/>
      <c r="X1265" s="83" t="s">
        <v>80</v>
      </c>
      <c r="Y1265" s="168"/>
      <c r="Z1265" s="119" t="s">
        <v>79</v>
      </c>
      <c r="AA1265" s="168"/>
      <c r="AB1265" s="83" t="s">
        <v>80</v>
      </c>
      <c r="AC1265" s="166"/>
      <c r="AD1265" s="106" t="s">
        <v>3252</v>
      </c>
    </row>
    <row r="1266" spans="1:31" s="171" customFormat="1" ht="51">
      <c r="A1266" s="126"/>
      <c r="B1266" s="106" t="s">
        <v>3301</v>
      </c>
      <c r="C1266" s="172"/>
      <c r="D1266" s="106" t="s">
        <v>3287</v>
      </c>
      <c r="E1266" s="126"/>
      <c r="F1266" s="83" t="s">
        <v>254</v>
      </c>
      <c r="G1266" s="126"/>
      <c r="H1266" s="83" t="s">
        <v>654</v>
      </c>
      <c r="I1266" s="126"/>
      <c r="J1266" s="83" t="s">
        <v>3282</v>
      </c>
      <c r="K1266" s="126"/>
      <c r="L1266" s="83" t="s">
        <v>737</v>
      </c>
      <c r="M1266" s="126"/>
      <c r="N1266" s="106" t="s">
        <v>96</v>
      </c>
      <c r="O1266" s="172"/>
      <c r="P1266" s="106" t="s">
        <v>3250</v>
      </c>
      <c r="Q1266" s="126"/>
      <c r="R1266" s="83" t="s">
        <v>77</v>
      </c>
      <c r="S1266" s="126"/>
      <c r="T1266" s="124" t="s">
        <v>3251</v>
      </c>
      <c r="U1266" s="166"/>
      <c r="V1266" s="83" t="s">
        <v>79</v>
      </c>
      <c r="W1266" s="166"/>
      <c r="X1266" s="83" t="s">
        <v>80</v>
      </c>
      <c r="Y1266" s="168"/>
      <c r="Z1266" s="119" t="s">
        <v>79</v>
      </c>
      <c r="AA1266" s="168"/>
      <c r="AB1266" s="83" t="s">
        <v>80</v>
      </c>
      <c r="AC1266" s="166"/>
      <c r="AD1266" s="106" t="s">
        <v>3252</v>
      </c>
    </row>
    <row r="1267" spans="1:31" s="171" customFormat="1" ht="51">
      <c r="A1267" s="126"/>
      <c r="B1267" s="106" t="s">
        <v>3302</v>
      </c>
      <c r="C1267" s="172"/>
      <c r="D1267" s="106" t="s">
        <v>3303</v>
      </c>
      <c r="E1267" s="126"/>
      <c r="F1267" s="83" t="s">
        <v>254</v>
      </c>
      <c r="G1267" s="126"/>
      <c r="H1267" s="83" t="s">
        <v>654</v>
      </c>
      <c r="I1267" s="126"/>
      <c r="J1267" s="83" t="s">
        <v>3282</v>
      </c>
      <c r="K1267" s="126"/>
      <c r="L1267" s="83" t="s">
        <v>737</v>
      </c>
      <c r="M1267" s="126"/>
      <c r="N1267" s="106" t="s">
        <v>96</v>
      </c>
      <c r="O1267" s="172"/>
      <c r="P1267" s="106" t="s">
        <v>3250</v>
      </c>
      <c r="Q1267" s="126"/>
      <c r="R1267" s="83" t="s">
        <v>77</v>
      </c>
      <c r="S1267" s="126"/>
      <c r="T1267" s="124" t="s">
        <v>3251</v>
      </c>
      <c r="U1267" s="166"/>
      <c r="V1267" s="83" t="s">
        <v>79</v>
      </c>
      <c r="W1267" s="166"/>
      <c r="X1267" s="83" t="s">
        <v>80</v>
      </c>
      <c r="Y1267" s="168"/>
      <c r="Z1267" s="119" t="s">
        <v>79</v>
      </c>
      <c r="AA1267" s="168"/>
      <c r="AB1267" s="83" t="s">
        <v>80</v>
      </c>
      <c r="AC1267" s="166"/>
      <c r="AD1267" s="106" t="s">
        <v>3252</v>
      </c>
    </row>
    <row r="1268" spans="1:31" s="171" customFormat="1" ht="51">
      <c r="A1268" s="126"/>
      <c r="B1268" s="106" t="s">
        <v>3304</v>
      </c>
      <c r="C1268" s="172"/>
      <c r="D1268" s="106" t="s">
        <v>3285</v>
      </c>
      <c r="E1268" s="126"/>
      <c r="F1268" s="83" t="s">
        <v>254</v>
      </c>
      <c r="G1268" s="126"/>
      <c r="H1268" s="83" t="s">
        <v>654</v>
      </c>
      <c r="I1268" s="126"/>
      <c r="J1268" s="83" t="s">
        <v>3282</v>
      </c>
      <c r="K1268" s="126"/>
      <c r="L1268" s="83" t="s">
        <v>737</v>
      </c>
      <c r="M1268" s="126"/>
      <c r="N1268" s="106" t="s">
        <v>96</v>
      </c>
      <c r="O1268" s="172"/>
      <c r="P1268" s="106" t="s">
        <v>3250</v>
      </c>
      <c r="Q1268" s="126"/>
      <c r="R1268" s="83" t="s">
        <v>77</v>
      </c>
      <c r="S1268" s="126"/>
      <c r="T1268" s="124" t="s">
        <v>3251</v>
      </c>
      <c r="U1268" s="166"/>
      <c r="V1268" s="83" t="s">
        <v>79</v>
      </c>
      <c r="W1268" s="166"/>
      <c r="X1268" s="83" t="s">
        <v>80</v>
      </c>
      <c r="Y1268" s="168"/>
      <c r="Z1268" s="119" t="s">
        <v>79</v>
      </c>
      <c r="AA1268" s="168"/>
      <c r="AB1268" s="83" t="s">
        <v>80</v>
      </c>
      <c r="AC1268" s="166"/>
      <c r="AD1268" s="106" t="s">
        <v>3252</v>
      </c>
    </row>
    <row r="1269" spans="1:31" s="171" customFormat="1" ht="51">
      <c r="A1269" s="126"/>
      <c r="B1269" s="106" t="s">
        <v>3305</v>
      </c>
      <c r="C1269" s="172"/>
      <c r="D1269" s="106" t="s">
        <v>3306</v>
      </c>
      <c r="E1269" s="126"/>
      <c r="F1269" s="83" t="s">
        <v>254</v>
      </c>
      <c r="G1269" s="126"/>
      <c r="H1269" s="83" t="s">
        <v>654</v>
      </c>
      <c r="I1269" s="126"/>
      <c r="J1269" s="83" t="s">
        <v>3282</v>
      </c>
      <c r="K1269" s="126"/>
      <c r="L1269" s="83" t="s">
        <v>737</v>
      </c>
      <c r="M1269" s="126"/>
      <c r="N1269" s="106" t="s">
        <v>96</v>
      </c>
      <c r="O1269" s="172"/>
      <c r="P1269" s="106" t="s">
        <v>3250</v>
      </c>
      <c r="Q1269" s="126"/>
      <c r="R1269" s="83" t="s">
        <v>77</v>
      </c>
      <c r="S1269" s="126"/>
      <c r="T1269" s="124" t="s">
        <v>3251</v>
      </c>
      <c r="U1269" s="166"/>
      <c r="V1269" s="83" t="s">
        <v>79</v>
      </c>
      <c r="W1269" s="166"/>
      <c r="X1269" s="83" t="s">
        <v>80</v>
      </c>
      <c r="Y1269" s="168"/>
      <c r="Z1269" s="119" t="s">
        <v>79</v>
      </c>
      <c r="AA1269" s="168"/>
      <c r="AB1269" s="83" t="s">
        <v>80</v>
      </c>
      <c r="AC1269" s="166"/>
      <c r="AD1269" s="106" t="s">
        <v>3252</v>
      </c>
    </row>
    <row r="1270" spans="1:31" s="177" customFormat="1" ht="51">
      <c r="A1270" s="138"/>
      <c r="B1270" s="146" t="s">
        <v>3307</v>
      </c>
      <c r="C1270" s="173"/>
      <c r="D1270" s="146" t="s">
        <v>3285</v>
      </c>
      <c r="E1270" s="138"/>
      <c r="F1270" s="148" t="s">
        <v>254</v>
      </c>
      <c r="G1270" s="138"/>
      <c r="H1270" s="148" t="s">
        <v>654</v>
      </c>
      <c r="I1270" s="138"/>
      <c r="J1270" s="148" t="s">
        <v>3282</v>
      </c>
      <c r="K1270" s="138"/>
      <c r="L1270" s="148" t="s">
        <v>737</v>
      </c>
      <c r="M1270" s="138"/>
      <c r="N1270" s="146" t="s">
        <v>96</v>
      </c>
      <c r="O1270" s="173"/>
      <c r="P1270" s="146" t="s">
        <v>3250</v>
      </c>
      <c r="Q1270" s="138"/>
      <c r="R1270" s="148" t="s">
        <v>77</v>
      </c>
      <c r="S1270" s="138"/>
      <c r="T1270" s="174" t="s">
        <v>3251</v>
      </c>
      <c r="U1270" s="175"/>
      <c r="V1270" s="83" t="s">
        <v>79</v>
      </c>
      <c r="W1270" s="166"/>
      <c r="X1270" s="83" t="s">
        <v>80</v>
      </c>
      <c r="Y1270" s="176"/>
      <c r="Z1270" s="119" t="s">
        <v>79</v>
      </c>
      <c r="AA1270" s="168"/>
      <c r="AB1270" s="83" t="s">
        <v>80</v>
      </c>
      <c r="AC1270" s="175"/>
      <c r="AD1270" s="106" t="s">
        <v>3252</v>
      </c>
      <c r="AE1270" s="171"/>
    </row>
    <row r="1271" spans="1:31" s="171" customFormat="1" ht="51">
      <c r="A1271" s="126"/>
      <c r="B1271" s="106" t="s">
        <v>3308</v>
      </c>
      <c r="C1271" s="172"/>
      <c r="D1271" s="106" t="s">
        <v>3309</v>
      </c>
      <c r="E1271" s="126"/>
      <c r="F1271" s="83" t="s">
        <v>254</v>
      </c>
      <c r="G1271" s="126"/>
      <c r="H1271" s="83" t="s">
        <v>654</v>
      </c>
      <c r="I1271" s="126"/>
      <c r="J1271" s="83" t="s">
        <v>3282</v>
      </c>
      <c r="K1271" s="126"/>
      <c r="L1271" s="83" t="s">
        <v>737</v>
      </c>
      <c r="M1271" s="126"/>
      <c r="N1271" s="106" t="s">
        <v>96</v>
      </c>
      <c r="O1271" s="172"/>
      <c r="P1271" s="106" t="s">
        <v>3250</v>
      </c>
      <c r="Q1271" s="126"/>
      <c r="R1271" s="83" t="s">
        <v>77</v>
      </c>
      <c r="S1271" s="126"/>
      <c r="T1271" s="124" t="s">
        <v>3251</v>
      </c>
      <c r="U1271" s="166"/>
      <c r="V1271" s="83" t="s">
        <v>79</v>
      </c>
      <c r="W1271" s="166"/>
      <c r="X1271" s="83" t="s">
        <v>80</v>
      </c>
      <c r="Y1271" s="168"/>
      <c r="Z1271" s="119" t="s">
        <v>79</v>
      </c>
      <c r="AA1271" s="168"/>
      <c r="AB1271" s="83" t="s">
        <v>80</v>
      </c>
      <c r="AC1271" s="166"/>
      <c r="AD1271" s="106" t="s">
        <v>3252</v>
      </c>
    </row>
    <row r="1272" spans="1:31" s="171" customFormat="1" ht="51">
      <c r="A1272" s="126"/>
      <c r="B1272" s="106" t="s">
        <v>3310</v>
      </c>
      <c r="C1272" s="172"/>
      <c r="D1272" s="106" t="s">
        <v>3285</v>
      </c>
      <c r="E1272" s="126"/>
      <c r="F1272" s="83" t="s">
        <v>254</v>
      </c>
      <c r="G1272" s="126"/>
      <c r="H1272" s="83" t="s">
        <v>654</v>
      </c>
      <c r="I1272" s="126"/>
      <c r="J1272" s="83" t="s">
        <v>3282</v>
      </c>
      <c r="K1272" s="126"/>
      <c r="L1272" s="83" t="s">
        <v>737</v>
      </c>
      <c r="M1272" s="126"/>
      <c r="N1272" s="106" t="s">
        <v>96</v>
      </c>
      <c r="O1272" s="172"/>
      <c r="P1272" s="106" t="s">
        <v>3250</v>
      </c>
      <c r="Q1272" s="126"/>
      <c r="R1272" s="83" t="s">
        <v>77</v>
      </c>
      <c r="S1272" s="126"/>
      <c r="T1272" s="124" t="s">
        <v>3251</v>
      </c>
      <c r="U1272" s="166"/>
      <c r="V1272" s="83" t="s">
        <v>79</v>
      </c>
      <c r="W1272" s="166"/>
      <c r="X1272" s="83" t="s">
        <v>80</v>
      </c>
      <c r="Y1272" s="168"/>
      <c r="Z1272" s="119" t="s">
        <v>79</v>
      </c>
      <c r="AA1272" s="168"/>
      <c r="AB1272" s="83" t="s">
        <v>80</v>
      </c>
      <c r="AC1272" s="166"/>
      <c r="AD1272" s="106" t="s">
        <v>3252</v>
      </c>
      <c r="AE1272" s="177"/>
    </row>
    <row r="1273" spans="1:31" s="171" customFormat="1" ht="51">
      <c r="A1273" s="126"/>
      <c r="B1273" s="106" t="s">
        <v>3311</v>
      </c>
      <c r="C1273" s="172"/>
      <c r="D1273" s="106" t="s">
        <v>3312</v>
      </c>
      <c r="E1273" s="126"/>
      <c r="F1273" s="83" t="s">
        <v>254</v>
      </c>
      <c r="G1273" s="126"/>
      <c r="H1273" s="83" t="s">
        <v>654</v>
      </c>
      <c r="I1273" s="126"/>
      <c r="J1273" s="83" t="s">
        <v>3282</v>
      </c>
      <c r="K1273" s="126"/>
      <c r="L1273" s="83" t="s">
        <v>737</v>
      </c>
      <c r="M1273" s="126"/>
      <c r="N1273" s="106" t="s">
        <v>96</v>
      </c>
      <c r="O1273" s="172"/>
      <c r="P1273" s="106" t="s">
        <v>3250</v>
      </c>
      <c r="Q1273" s="126"/>
      <c r="R1273" s="83" t="s">
        <v>77</v>
      </c>
      <c r="S1273" s="126"/>
      <c r="T1273" s="124" t="s">
        <v>3251</v>
      </c>
      <c r="U1273" s="166"/>
      <c r="V1273" s="83" t="s">
        <v>79</v>
      </c>
      <c r="W1273" s="166"/>
      <c r="X1273" s="83" t="s">
        <v>80</v>
      </c>
      <c r="Y1273" s="168"/>
      <c r="Z1273" s="119" t="s">
        <v>79</v>
      </c>
      <c r="AA1273" s="168"/>
      <c r="AB1273" s="83" t="s">
        <v>80</v>
      </c>
      <c r="AC1273" s="166"/>
      <c r="AD1273" s="106" t="s">
        <v>3252</v>
      </c>
    </row>
    <row r="1274" spans="1:31" s="171" customFormat="1" ht="51">
      <c r="A1274" s="126"/>
      <c r="B1274" s="106" t="s">
        <v>3313</v>
      </c>
      <c r="C1274" s="172"/>
      <c r="D1274" s="106" t="s">
        <v>604</v>
      </c>
      <c r="E1274" s="126"/>
      <c r="F1274" s="83" t="s">
        <v>254</v>
      </c>
      <c r="G1274" s="126"/>
      <c r="H1274" s="83" t="s">
        <v>654</v>
      </c>
      <c r="I1274" s="126"/>
      <c r="J1274" s="83" t="s">
        <v>3282</v>
      </c>
      <c r="K1274" s="126"/>
      <c r="L1274" s="83" t="s">
        <v>737</v>
      </c>
      <c r="M1274" s="126"/>
      <c r="N1274" s="106" t="s">
        <v>96</v>
      </c>
      <c r="O1274" s="172"/>
      <c r="P1274" s="106" t="s">
        <v>3250</v>
      </c>
      <c r="Q1274" s="126"/>
      <c r="R1274" s="83" t="s">
        <v>77</v>
      </c>
      <c r="S1274" s="126"/>
      <c r="T1274" s="124" t="s">
        <v>3251</v>
      </c>
      <c r="U1274" s="166"/>
      <c r="V1274" s="83" t="s">
        <v>79</v>
      </c>
      <c r="W1274" s="166"/>
      <c r="X1274" s="83" t="s">
        <v>80</v>
      </c>
      <c r="Y1274" s="168"/>
      <c r="Z1274" s="119" t="s">
        <v>79</v>
      </c>
      <c r="AA1274" s="168"/>
      <c r="AB1274" s="83" t="s">
        <v>80</v>
      </c>
      <c r="AC1274" s="166"/>
      <c r="AD1274" s="106" t="s">
        <v>3252</v>
      </c>
    </row>
    <row r="1275" spans="1:31" s="171" customFormat="1" ht="51">
      <c r="A1275" s="126"/>
      <c r="B1275" s="106" t="s">
        <v>3314</v>
      </c>
      <c r="C1275" s="172"/>
      <c r="D1275" s="106" t="s">
        <v>3315</v>
      </c>
      <c r="E1275" s="126"/>
      <c r="F1275" s="83" t="s">
        <v>254</v>
      </c>
      <c r="G1275" s="126"/>
      <c r="H1275" s="83" t="s">
        <v>654</v>
      </c>
      <c r="I1275" s="126"/>
      <c r="J1275" s="83" t="s">
        <v>3316</v>
      </c>
      <c r="K1275" s="126"/>
      <c r="L1275" s="83" t="s">
        <v>737</v>
      </c>
      <c r="M1275" s="126"/>
      <c r="N1275" s="106" t="s">
        <v>96</v>
      </c>
      <c r="O1275" s="172"/>
      <c r="P1275" s="106" t="s">
        <v>3250</v>
      </c>
      <c r="Q1275" s="126"/>
      <c r="R1275" s="83" t="s">
        <v>77</v>
      </c>
      <c r="S1275" s="126"/>
      <c r="T1275" s="124" t="s">
        <v>3251</v>
      </c>
      <c r="U1275" s="166"/>
      <c r="V1275" s="83" t="s">
        <v>79</v>
      </c>
      <c r="W1275" s="166"/>
      <c r="X1275" s="83" t="s">
        <v>80</v>
      </c>
      <c r="Y1275" s="168"/>
      <c r="Z1275" s="119" t="s">
        <v>79</v>
      </c>
      <c r="AA1275" s="168"/>
      <c r="AB1275" s="83" t="s">
        <v>80</v>
      </c>
      <c r="AC1275" s="166"/>
      <c r="AD1275" s="106" t="s">
        <v>3252</v>
      </c>
    </row>
    <row r="1276" spans="1:31" s="171" customFormat="1" ht="51">
      <c r="A1276" s="126"/>
      <c r="B1276" s="106" t="s">
        <v>3317</v>
      </c>
      <c r="C1276" s="172"/>
      <c r="D1276" s="106" t="s">
        <v>3318</v>
      </c>
      <c r="E1276" s="126"/>
      <c r="F1276" s="83" t="s">
        <v>254</v>
      </c>
      <c r="G1276" s="126"/>
      <c r="H1276" s="83" t="s">
        <v>654</v>
      </c>
      <c r="I1276" s="126"/>
      <c r="J1276" s="83" t="s">
        <v>3316</v>
      </c>
      <c r="K1276" s="126"/>
      <c r="L1276" s="83" t="s">
        <v>737</v>
      </c>
      <c r="M1276" s="126"/>
      <c r="N1276" s="106" t="s">
        <v>96</v>
      </c>
      <c r="O1276" s="172"/>
      <c r="P1276" s="106" t="s">
        <v>3250</v>
      </c>
      <c r="Q1276" s="126"/>
      <c r="R1276" s="83" t="s">
        <v>77</v>
      </c>
      <c r="S1276" s="126"/>
      <c r="T1276" s="124" t="s">
        <v>3251</v>
      </c>
      <c r="U1276" s="166"/>
      <c r="V1276" s="83" t="s">
        <v>79</v>
      </c>
      <c r="W1276" s="166"/>
      <c r="X1276" s="83" t="s">
        <v>80</v>
      </c>
      <c r="Y1276" s="168"/>
      <c r="Z1276" s="119" t="s">
        <v>79</v>
      </c>
      <c r="AA1276" s="168"/>
      <c r="AB1276" s="83" t="s">
        <v>80</v>
      </c>
      <c r="AC1276" s="166"/>
      <c r="AD1276" s="106" t="s">
        <v>3252</v>
      </c>
    </row>
    <row r="1277" spans="1:31" s="171" customFormat="1" ht="51">
      <c r="A1277" s="126"/>
      <c r="B1277" s="106" t="s">
        <v>3319</v>
      </c>
      <c r="C1277" s="172"/>
      <c r="D1277" s="106" t="s">
        <v>3271</v>
      </c>
      <c r="E1277" s="126"/>
      <c r="F1277" s="83" t="s">
        <v>254</v>
      </c>
      <c r="G1277" s="126"/>
      <c r="H1277" s="83" t="s">
        <v>654</v>
      </c>
      <c r="I1277" s="126"/>
      <c r="J1277" s="83" t="s">
        <v>3316</v>
      </c>
      <c r="K1277" s="126"/>
      <c r="L1277" s="83" t="s">
        <v>737</v>
      </c>
      <c r="M1277" s="126"/>
      <c r="N1277" s="106" t="s">
        <v>96</v>
      </c>
      <c r="O1277" s="172"/>
      <c r="P1277" s="106" t="s">
        <v>3250</v>
      </c>
      <c r="Q1277" s="126"/>
      <c r="R1277" s="83" t="s">
        <v>77</v>
      </c>
      <c r="S1277" s="126"/>
      <c r="T1277" s="124" t="s">
        <v>3251</v>
      </c>
      <c r="U1277" s="166"/>
      <c r="V1277" s="83" t="s">
        <v>79</v>
      </c>
      <c r="W1277" s="166"/>
      <c r="X1277" s="83" t="s">
        <v>80</v>
      </c>
      <c r="Y1277" s="168"/>
      <c r="Z1277" s="119" t="s">
        <v>79</v>
      </c>
      <c r="AA1277" s="168"/>
      <c r="AB1277" s="83" t="s">
        <v>80</v>
      </c>
      <c r="AC1277" s="166"/>
      <c r="AD1277" s="106" t="s">
        <v>3252</v>
      </c>
    </row>
    <row r="1278" spans="1:31" s="171" customFormat="1" ht="51">
      <c r="A1278" s="126"/>
      <c r="B1278" s="106" t="s">
        <v>3320</v>
      </c>
      <c r="C1278" s="172"/>
      <c r="D1278" s="106" t="s">
        <v>3287</v>
      </c>
      <c r="E1278" s="126"/>
      <c r="F1278" s="83" t="s">
        <v>254</v>
      </c>
      <c r="G1278" s="126"/>
      <c r="H1278" s="83" t="s">
        <v>654</v>
      </c>
      <c r="I1278" s="126"/>
      <c r="J1278" s="83" t="s">
        <v>3316</v>
      </c>
      <c r="K1278" s="126"/>
      <c r="L1278" s="83" t="s">
        <v>737</v>
      </c>
      <c r="M1278" s="126"/>
      <c r="N1278" s="106" t="s">
        <v>96</v>
      </c>
      <c r="O1278" s="172"/>
      <c r="P1278" s="106" t="s">
        <v>3250</v>
      </c>
      <c r="Q1278" s="126"/>
      <c r="R1278" s="83" t="s">
        <v>77</v>
      </c>
      <c r="S1278" s="126"/>
      <c r="T1278" s="124" t="s">
        <v>3251</v>
      </c>
      <c r="U1278" s="166"/>
      <c r="V1278" s="83" t="s">
        <v>79</v>
      </c>
      <c r="W1278" s="166"/>
      <c r="X1278" s="83" t="s">
        <v>80</v>
      </c>
      <c r="Y1278" s="168"/>
      <c r="Z1278" s="119" t="s">
        <v>79</v>
      </c>
      <c r="AA1278" s="168"/>
      <c r="AB1278" s="83" t="s">
        <v>80</v>
      </c>
      <c r="AC1278" s="166"/>
      <c r="AD1278" s="106" t="s">
        <v>3252</v>
      </c>
    </row>
    <row r="1279" spans="1:31" s="171" customFormat="1" ht="51">
      <c r="A1279" s="126"/>
      <c r="B1279" s="106" t="s">
        <v>3321</v>
      </c>
      <c r="C1279" s="172"/>
      <c r="D1279" s="106" t="s">
        <v>71</v>
      </c>
      <c r="E1279" s="126"/>
      <c r="F1279" s="83" t="s">
        <v>71</v>
      </c>
      <c r="G1279" s="126"/>
      <c r="H1279" s="83" t="s">
        <v>654</v>
      </c>
      <c r="I1279" s="126"/>
      <c r="J1279" s="83" t="s">
        <v>3316</v>
      </c>
      <c r="K1279" s="126"/>
      <c r="L1279" s="83" t="s">
        <v>737</v>
      </c>
      <c r="M1279" s="126"/>
      <c r="N1279" s="106" t="s">
        <v>96</v>
      </c>
      <c r="O1279" s="172"/>
      <c r="P1279" s="106" t="s">
        <v>3250</v>
      </c>
      <c r="Q1279" s="126"/>
      <c r="R1279" s="83" t="s">
        <v>77</v>
      </c>
      <c r="S1279" s="126"/>
      <c r="T1279" s="124" t="s">
        <v>3251</v>
      </c>
      <c r="U1279" s="166"/>
      <c r="V1279" s="83" t="s">
        <v>79</v>
      </c>
      <c r="W1279" s="166"/>
      <c r="X1279" s="83" t="s">
        <v>80</v>
      </c>
      <c r="Y1279" s="168"/>
      <c r="Z1279" s="119" t="s">
        <v>79</v>
      </c>
      <c r="AA1279" s="168"/>
      <c r="AB1279" s="83" t="s">
        <v>80</v>
      </c>
      <c r="AC1279" s="166"/>
      <c r="AD1279" s="106" t="s">
        <v>3252</v>
      </c>
    </row>
    <row r="1280" spans="1:31" s="171" customFormat="1" ht="51">
      <c r="A1280" s="126"/>
      <c r="B1280" s="106" t="s">
        <v>3322</v>
      </c>
      <c r="C1280" s="172"/>
      <c r="D1280" s="106" t="s">
        <v>3275</v>
      </c>
      <c r="E1280" s="126"/>
      <c r="F1280" s="83" t="s">
        <v>254</v>
      </c>
      <c r="G1280" s="126"/>
      <c r="H1280" s="83" t="s">
        <v>654</v>
      </c>
      <c r="I1280" s="126"/>
      <c r="J1280" s="83" t="s">
        <v>659</v>
      </c>
      <c r="K1280" s="126"/>
      <c r="L1280" s="83" t="s">
        <v>737</v>
      </c>
      <c r="M1280" s="126"/>
      <c r="N1280" s="106" t="s">
        <v>96</v>
      </c>
      <c r="O1280" s="172"/>
      <c r="P1280" s="106" t="s">
        <v>3250</v>
      </c>
      <c r="Q1280" s="126"/>
      <c r="R1280" s="83" t="s">
        <v>77</v>
      </c>
      <c r="S1280" s="126"/>
      <c r="T1280" s="124" t="s">
        <v>3251</v>
      </c>
      <c r="U1280" s="166"/>
      <c r="V1280" s="83" t="s">
        <v>79</v>
      </c>
      <c r="W1280" s="166"/>
      <c r="X1280" s="83" t="s">
        <v>80</v>
      </c>
      <c r="Y1280" s="168"/>
      <c r="Z1280" s="119" t="s">
        <v>79</v>
      </c>
      <c r="AA1280" s="168"/>
      <c r="AB1280" s="83" t="s">
        <v>80</v>
      </c>
      <c r="AC1280" s="166"/>
      <c r="AD1280" s="106" t="s">
        <v>3252</v>
      </c>
    </row>
    <row r="1281" spans="1:30" s="171" customFormat="1" ht="51">
      <c r="A1281" s="126"/>
      <c r="B1281" s="106" t="s">
        <v>3323</v>
      </c>
      <c r="C1281" s="172"/>
      <c r="D1281" s="106" t="s">
        <v>702</v>
      </c>
      <c r="E1281" s="126"/>
      <c r="F1281" s="83" t="s">
        <v>370</v>
      </c>
      <c r="G1281" s="126"/>
      <c r="H1281" s="83" t="s">
        <v>654</v>
      </c>
      <c r="I1281" s="126"/>
      <c r="J1281" s="83" t="s">
        <v>659</v>
      </c>
      <c r="K1281" s="126"/>
      <c r="L1281" s="83" t="s">
        <v>737</v>
      </c>
      <c r="M1281" s="126"/>
      <c r="N1281" s="106" t="s">
        <v>96</v>
      </c>
      <c r="O1281" s="172"/>
      <c r="P1281" s="106" t="s">
        <v>3250</v>
      </c>
      <c r="Q1281" s="126"/>
      <c r="R1281" s="83" t="s">
        <v>77</v>
      </c>
      <c r="S1281" s="126"/>
      <c r="T1281" s="124" t="s">
        <v>3251</v>
      </c>
      <c r="U1281" s="166"/>
      <c r="V1281" s="83" t="s">
        <v>79</v>
      </c>
      <c r="W1281" s="166"/>
      <c r="X1281" s="83" t="s">
        <v>80</v>
      </c>
      <c r="Y1281" s="168"/>
      <c r="Z1281" s="119" t="s">
        <v>79</v>
      </c>
      <c r="AA1281" s="168"/>
      <c r="AB1281" s="83" t="s">
        <v>80</v>
      </c>
      <c r="AC1281" s="166"/>
      <c r="AD1281" s="106" t="s">
        <v>3252</v>
      </c>
    </row>
    <row r="1282" spans="1:30" s="171" customFormat="1" ht="51">
      <c r="A1282" s="126"/>
      <c r="B1282" s="106" t="s">
        <v>3324</v>
      </c>
      <c r="C1282" s="172"/>
      <c r="D1282" s="106" t="s">
        <v>71</v>
      </c>
      <c r="E1282" s="126"/>
      <c r="F1282" s="83" t="s">
        <v>71</v>
      </c>
      <c r="G1282" s="126"/>
      <c r="H1282" s="83" t="s">
        <v>654</v>
      </c>
      <c r="I1282" s="126"/>
      <c r="J1282" s="83" t="s">
        <v>659</v>
      </c>
      <c r="K1282" s="126"/>
      <c r="L1282" s="83" t="s">
        <v>737</v>
      </c>
      <c r="M1282" s="126"/>
      <c r="N1282" s="106" t="s">
        <v>96</v>
      </c>
      <c r="O1282" s="172"/>
      <c r="P1282" s="106" t="s">
        <v>3250</v>
      </c>
      <c r="Q1282" s="126"/>
      <c r="R1282" s="83" t="s">
        <v>77</v>
      </c>
      <c r="S1282" s="126"/>
      <c r="T1282" s="124" t="s">
        <v>3251</v>
      </c>
      <c r="U1282" s="166"/>
      <c r="V1282" s="83" t="s">
        <v>79</v>
      </c>
      <c r="W1282" s="166"/>
      <c r="X1282" s="83" t="s">
        <v>80</v>
      </c>
      <c r="Y1282" s="168"/>
      <c r="Z1282" s="119" t="s">
        <v>79</v>
      </c>
      <c r="AA1282" s="168"/>
      <c r="AB1282" s="83" t="s">
        <v>80</v>
      </c>
      <c r="AC1282" s="166"/>
      <c r="AD1282" s="106" t="s">
        <v>3252</v>
      </c>
    </row>
    <row r="1283" spans="1:30" s="171" customFormat="1" ht="51">
      <c r="A1283" s="126"/>
      <c r="B1283" s="106" t="s">
        <v>3325</v>
      </c>
      <c r="C1283" s="172"/>
      <c r="D1283" s="106" t="s">
        <v>702</v>
      </c>
      <c r="E1283" s="126"/>
      <c r="F1283" s="83" t="s">
        <v>370</v>
      </c>
      <c r="G1283" s="126"/>
      <c r="H1283" s="83" t="s">
        <v>654</v>
      </c>
      <c r="I1283" s="126"/>
      <c r="J1283" s="83" t="s">
        <v>659</v>
      </c>
      <c r="K1283" s="126"/>
      <c r="L1283" s="83" t="s">
        <v>737</v>
      </c>
      <c r="M1283" s="126"/>
      <c r="N1283" s="106" t="s">
        <v>96</v>
      </c>
      <c r="O1283" s="172"/>
      <c r="P1283" s="106" t="s">
        <v>3250</v>
      </c>
      <c r="Q1283" s="126"/>
      <c r="R1283" s="83" t="s">
        <v>77</v>
      </c>
      <c r="S1283" s="126"/>
      <c r="T1283" s="124" t="s">
        <v>3251</v>
      </c>
      <c r="U1283" s="166"/>
      <c r="V1283" s="83" t="s">
        <v>79</v>
      </c>
      <c r="W1283" s="166"/>
      <c r="X1283" s="83" t="s">
        <v>80</v>
      </c>
      <c r="Y1283" s="168"/>
      <c r="Z1283" s="119" t="s">
        <v>79</v>
      </c>
      <c r="AA1283" s="168"/>
      <c r="AB1283" s="83" t="s">
        <v>80</v>
      </c>
      <c r="AC1283" s="166"/>
      <c r="AD1283" s="106" t="s">
        <v>3252</v>
      </c>
    </row>
    <row r="1284" spans="1:30" s="171" customFormat="1" ht="51">
      <c r="A1284" s="126"/>
      <c r="B1284" s="106" t="s">
        <v>3326</v>
      </c>
      <c r="C1284" s="172"/>
      <c r="D1284" s="106" t="s">
        <v>3309</v>
      </c>
      <c r="E1284" s="126"/>
      <c r="F1284" s="83" t="s">
        <v>254</v>
      </c>
      <c r="G1284" s="126"/>
      <c r="H1284" s="83" t="s">
        <v>654</v>
      </c>
      <c r="I1284" s="126"/>
      <c r="J1284" s="83" t="s">
        <v>659</v>
      </c>
      <c r="K1284" s="126"/>
      <c r="L1284" s="83" t="s">
        <v>737</v>
      </c>
      <c r="M1284" s="126"/>
      <c r="N1284" s="106" t="s">
        <v>96</v>
      </c>
      <c r="O1284" s="172"/>
      <c r="P1284" s="106" t="s">
        <v>3250</v>
      </c>
      <c r="Q1284" s="126"/>
      <c r="R1284" s="83" t="s">
        <v>77</v>
      </c>
      <c r="S1284" s="126"/>
      <c r="T1284" s="124" t="s">
        <v>3251</v>
      </c>
      <c r="U1284" s="166"/>
      <c r="V1284" s="83" t="s">
        <v>79</v>
      </c>
      <c r="W1284" s="166"/>
      <c r="X1284" s="83" t="s">
        <v>80</v>
      </c>
      <c r="Y1284" s="168"/>
      <c r="Z1284" s="119" t="s">
        <v>79</v>
      </c>
      <c r="AA1284" s="168"/>
      <c r="AB1284" s="83" t="s">
        <v>80</v>
      </c>
      <c r="AC1284" s="166"/>
      <c r="AD1284" s="106" t="s">
        <v>3252</v>
      </c>
    </row>
    <row r="1285" spans="1:30" s="171" customFormat="1" ht="51">
      <c r="A1285" s="126"/>
      <c r="B1285" s="106" t="s">
        <v>3327</v>
      </c>
      <c r="C1285" s="172"/>
      <c r="D1285" s="106" t="s">
        <v>3309</v>
      </c>
      <c r="E1285" s="126"/>
      <c r="F1285" s="83" t="s">
        <v>254</v>
      </c>
      <c r="G1285" s="126"/>
      <c r="H1285" s="83" t="s">
        <v>654</v>
      </c>
      <c r="I1285" s="126"/>
      <c r="J1285" s="83" t="s">
        <v>659</v>
      </c>
      <c r="K1285" s="126"/>
      <c r="L1285" s="83" t="s">
        <v>737</v>
      </c>
      <c r="M1285" s="126"/>
      <c r="N1285" s="106" t="s">
        <v>96</v>
      </c>
      <c r="O1285" s="172"/>
      <c r="P1285" s="106" t="s">
        <v>3250</v>
      </c>
      <c r="Q1285" s="126"/>
      <c r="R1285" s="83" t="s">
        <v>77</v>
      </c>
      <c r="S1285" s="126"/>
      <c r="T1285" s="124" t="s">
        <v>3251</v>
      </c>
      <c r="U1285" s="166"/>
      <c r="V1285" s="83" t="s">
        <v>79</v>
      </c>
      <c r="W1285" s="166"/>
      <c r="X1285" s="83" t="s">
        <v>80</v>
      </c>
      <c r="Y1285" s="168"/>
      <c r="Z1285" s="119" t="s">
        <v>79</v>
      </c>
      <c r="AA1285" s="168"/>
      <c r="AB1285" s="83" t="s">
        <v>80</v>
      </c>
      <c r="AC1285" s="166"/>
      <c r="AD1285" s="106" t="s">
        <v>3252</v>
      </c>
    </row>
    <row r="1286" spans="1:30" s="171" customFormat="1" ht="51">
      <c r="A1286" s="126"/>
      <c r="B1286" s="106" t="s">
        <v>3328</v>
      </c>
      <c r="C1286" s="172"/>
      <c r="D1286" s="106" t="s">
        <v>3315</v>
      </c>
      <c r="E1286" s="126"/>
      <c r="F1286" s="83" t="s">
        <v>254</v>
      </c>
      <c r="G1286" s="126"/>
      <c r="H1286" s="83" t="s">
        <v>654</v>
      </c>
      <c r="I1286" s="126"/>
      <c r="J1286" s="83" t="s">
        <v>659</v>
      </c>
      <c r="K1286" s="126"/>
      <c r="L1286" s="83" t="s">
        <v>737</v>
      </c>
      <c r="M1286" s="126"/>
      <c r="N1286" s="106" t="s">
        <v>96</v>
      </c>
      <c r="O1286" s="172"/>
      <c r="P1286" s="106" t="s">
        <v>3250</v>
      </c>
      <c r="Q1286" s="126"/>
      <c r="R1286" s="83" t="s">
        <v>77</v>
      </c>
      <c r="S1286" s="126"/>
      <c r="T1286" s="124" t="s">
        <v>3251</v>
      </c>
      <c r="U1286" s="166"/>
      <c r="V1286" s="83" t="s">
        <v>79</v>
      </c>
      <c r="W1286" s="166"/>
      <c r="X1286" s="83" t="s">
        <v>80</v>
      </c>
      <c r="Y1286" s="168"/>
      <c r="Z1286" s="119" t="s">
        <v>79</v>
      </c>
      <c r="AA1286" s="168"/>
      <c r="AB1286" s="83" t="s">
        <v>80</v>
      </c>
      <c r="AC1286" s="166"/>
      <c r="AD1286" s="106" t="s">
        <v>3252</v>
      </c>
    </row>
    <row r="1287" spans="1:30" s="171" customFormat="1" ht="51">
      <c r="A1287" s="126"/>
      <c r="B1287" s="106" t="s">
        <v>3329</v>
      </c>
      <c r="C1287" s="172"/>
      <c r="D1287" s="106" t="s">
        <v>1137</v>
      </c>
      <c r="E1287" s="126"/>
      <c r="F1287" s="83" t="s">
        <v>254</v>
      </c>
      <c r="G1287" s="126"/>
      <c r="H1287" s="83" t="s">
        <v>654</v>
      </c>
      <c r="I1287" s="126"/>
      <c r="J1287" s="83" t="s">
        <v>659</v>
      </c>
      <c r="K1287" s="126"/>
      <c r="L1287" s="83" t="s">
        <v>737</v>
      </c>
      <c r="M1287" s="126"/>
      <c r="N1287" s="106" t="s">
        <v>96</v>
      </c>
      <c r="O1287" s="172"/>
      <c r="P1287" s="106" t="s">
        <v>3250</v>
      </c>
      <c r="Q1287" s="126"/>
      <c r="R1287" s="83" t="s">
        <v>77</v>
      </c>
      <c r="S1287" s="126"/>
      <c r="T1287" s="124" t="s">
        <v>3251</v>
      </c>
      <c r="U1287" s="166"/>
      <c r="V1287" s="83" t="s">
        <v>79</v>
      </c>
      <c r="W1287" s="166"/>
      <c r="X1287" s="83" t="s">
        <v>80</v>
      </c>
      <c r="Y1287" s="168"/>
      <c r="Z1287" s="119" t="s">
        <v>79</v>
      </c>
      <c r="AA1287" s="168"/>
      <c r="AB1287" s="83" t="s">
        <v>80</v>
      </c>
      <c r="AC1287" s="166"/>
      <c r="AD1287" s="106" t="s">
        <v>3252</v>
      </c>
    </row>
    <row r="1288" spans="1:30" s="171" customFormat="1" ht="51">
      <c r="A1288" s="126"/>
      <c r="B1288" s="106" t="s">
        <v>3330</v>
      </c>
      <c r="C1288" s="172"/>
      <c r="D1288" s="106" t="s">
        <v>3279</v>
      </c>
      <c r="E1288" s="126"/>
      <c r="F1288" s="83" t="s">
        <v>123</v>
      </c>
      <c r="G1288" s="126"/>
      <c r="H1288" s="83" t="s">
        <v>654</v>
      </c>
      <c r="I1288" s="126"/>
      <c r="J1288" s="83" t="s">
        <v>659</v>
      </c>
      <c r="K1288" s="126"/>
      <c r="L1288" s="83" t="s">
        <v>737</v>
      </c>
      <c r="M1288" s="126"/>
      <c r="N1288" s="106" t="s">
        <v>96</v>
      </c>
      <c r="O1288" s="172"/>
      <c r="P1288" s="106" t="s">
        <v>3250</v>
      </c>
      <c r="Q1288" s="126"/>
      <c r="R1288" s="83" t="s">
        <v>77</v>
      </c>
      <c r="S1288" s="126"/>
      <c r="T1288" s="124" t="s">
        <v>3251</v>
      </c>
      <c r="U1288" s="166"/>
      <c r="V1288" s="83" t="s">
        <v>79</v>
      </c>
      <c r="W1288" s="166"/>
      <c r="X1288" s="83" t="s">
        <v>80</v>
      </c>
      <c r="Y1288" s="168"/>
      <c r="Z1288" s="119" t="s">
        <v>79</v>
      </c>
      <c r="AA1288" s="168"/>
      <c r="AB1288" s="83" t="s">
        <v>80</v>
      </c>
      <c r="AC1288" s="166"/>
      <c r="AD1288" s="106" t="s">
        <v>3252</v>
      </c>
    </row>
    <row r="1289" spans="1:30" s="171" customFormat="1" ht="51">
      <c r="A1289" s="126"/>
      <c r="B1289" s="106" t="s">
        <v>3331</v>
      </c>
      <c r="C1289" s="172"/>
      <c r="D1289" s="106" t="s">
        <v>3332</v>
      </c>
      <c r="E1289" s="126"/>
      <c r="F1289" s="83" t="s">
        <v>254</v>
      </c>
      <c r="G1289" s="126"/>
      <c r="H1289" s="83" t="s">
        <v>654</v>
      </c>
      <c r="I1289" s="126"/>
      <c r="J1289" s="83" t="s">
        <v>659</v>
      </c>
      <c r="K1289" s="126"/>
      <c r="L1289" s="83" t="s">
        <v>737</v>
      </c>
      <c r="M1289" s="126"/>
      <c r="N1289" s="106" t="s">
        <v>96</v>
      </c>
      <c r="O1289" s="172"/>
      <c r="P1289" s="106" t="s">
        <v>3250</v>
      </c>
      <c r="Q1289" s="126"/>
      <c r="R1289" s="83" t="s">
        <v>77</v>
      </c>
      <c r="S1289" s="126"/>
      <c r="T1289" s="124" t="s">
        <v>3251</v>
      </c>
      <c r="U1289" s="166"/>
      <c r="V1289" s="83" t="s">
        <v>79</v>
      </c>
      <c r="W1289" s="166"/>
      <c r="X1289" s="83" t="s">
        <v>80</v>
      </c>
      <c r="Y1289" s="168"/>
      <c r="Z1289" s="119" t="s">
        <v>79</v>
      </c>
      <c r="AA1289" s="168"/>
      <c r="AB1289" s="83" t="s">
        <v>80</v>
      </c>
      <c r="AC1289" s="166"/>
      <c r="AD1289" s="106" t="s">
        <v>3252</v>
      </c>
    </row>
    <row r="1290" spans="1:30" s="171" customFormat="1" ht="51">
      <c r="A1290" s="126"/>
      <c r="B1290" s="106" t="s">
        <v>3333</v>
      </c>
      <c r="C1290" s="172"/>
      <c r="D1290" s="106" t="s">
        <v>1434</v>
      </c>
      <c r="E1290" s="126"/>
      <c r="F1290" s="83" t="s">
        <v>254</v>
      </c>
      <c r="G1290" s="126"/>
      <c r="H1290" s="83" t="s">
        <v>654</v>
      </c>
      <c r="I1290" s="126"/>
      <c r="J1290" s="83" t="s">
        <v>659</v>
      </c>
      <c r="K1290" s="126"/>
      <c r="L1290" s="83" t="s">
        <v>737</v>
      </c>
      <c r="M1290" s="126"/>
      <c r="N1290" s="106" t="s">
        <v>96</v>
      </c>
      <c r="O1290" s="172"/>
      <c r="P1290" s="106" t="s">
        <v>3250</v>
      </c>
      <c r="Q1290" s="126"/>
      <c r="R1290" s="83" t="s">
        <v>77</v>
      </c>
      <c r="S1290" s="126"/>
      <c r="T1290" s="124" t="s">
        <v>3251</v>
      </c>
      <c r="U1290" s="166"/>
      <c r="V1290" s="83" t="s">
        <v>79</v>
      </c>
      <c r="W1290" s="166"/>
      <c r="X1290" s="83" t="s">
        <v>80</v>
      </c>
      <c r="Y1290" s="168"/>
      <c r="Z1290" s="119" t="s">
        <v>79</v>
      </c>
      <c r="AA1290" s="168"/>
      <c r="AB1290" s="83" t="s">
        <v>80</v>
      </c>
      <c r="AC1290" s="166"/>
      <c r="AD1290" s="106" t="s">
        <v>3252</v>
      </c>
    </row>
    <row r="1291" spans="1:30" s="171" customFormat="1" ht="51">
      <c r="A1291" s="126"/>
      <c r="B1291" s="106" t="s">
        <v>3334</v>
      </c>
      <c r="C1291" s="172"/>
      <c r="D1291" s="106" t="s">
        <v>3255</v>
      </c>
      <c r="E1291" s="126"/>
      <c r="F1291" s="83" t="s">
        <v>254</v>
      </c>
      <c r="G1291" s="126"/>
      <c r="H1291" s="83" t="s">
        <v>654</v>
      </c>
      <c r="I1291" s="126"/>
      <c r="J1291" s="83" t="s">
        <v>659</v>
      </c>
      <c r="K1291" s="126"/>
      <c r="L1291" s="83" t="s">
        <v>737</v>
      </c>
      <c r="M1291" s="126"/>
      <c r="N1291" s="106" t="s">
        <v>96</v>
      </c>
      <c r="O1291" s="172"/>
      <c r="P1291" s="106" t="s">
        <v>3250</v>
      </c>
      <c r="Q1291" s="126"/>
      <c r="R1291" s="83" t="s">
        <v>77</v>
      </c>
      <c r="S1291" s="126"/>
      <c r="T1291" s="124" t="s">
        <v>3251</v>
      </c>
      <c r="U1291" s="166"/>
      <c r="V1291" s="83" t="s">
        <v>79</v>
      </c>
      <c r="W1291" s="166"/>
      <c r="X1291" s="83" t="s">
        <v>80</v>
      </c>
      <c r="Y1291" s="168"/>
      <c r="Z1291" s="119" t="s">
        <v>79</v>
      </c>
      <c r="AA1291" s="168"/>
      <c r="AB1291" s="83" t="s">
        <v>80</v>
      </c>
      <c r="AC1291" s="166"/>
      <c r="AD1291" s="106" t="s">
        <v>3252</v>
      </c>
    </row>
    <row r="1292" spans="1:30" s="171" customFormat="1" ht="51">
      <c r="A1292" s="126"/>
      <c r="B1292" s="106" t="s">
        <v>3335</v>
      </c>
      <c r="C1292" s="172"/>
      <c r="D1292" s="106" t="s">
        <v>3336</v>
      </c>
      <c r="E1292" s="126"/>
      <c r="F1292" s="83" t="s">
        <v>254</v>
      </c>
      <c r="G1292" s="126"/>
      <c r="H1292" s="83" t="s">
        <v>654</v>
      </c>
      <c r="I1292" s="126"/>
      <c r="J1292" s="83" t="s">
        <v>659</v>
      </c>
      <c r="K1292" s="126"/>
      <c r="L1292" s="83" t="s">
        <v>737</v>
      </c>
      <c r="M1292" s="126"/>
      <c r="N1292" s="106" t="s">
        <v>96</v>
      </c>
      <c r="O1292" s="172"/>
      <c r="P1292" s="106" t="s">
        <v>3250</v>
      </c>
      <c r="Q1292" s="126"/>
      <c r="R1292" s="83" t="s">
        <v>77</v>
      </c>
      <c r="S1292" s="126"/>
      <c r="T1292" s="124" t="s">
        <v>3251</v>
      </c>
      <c r="U1292" s="166"/>
      <c r="V1292" s="83" t="s">
        <v>79</v>
      </c>
      <c r="W1292" s="166"/>
      <c r="X1292" s="83" t="s">
        <v>80</v>
      </c>
      <c r="Y1292" s="168"/>
      <c r="Z1292" s="119" t="s">
        <v>79</v>
      </c>
      <c r="AA1292" s="168"/>
      <c r="AB1292" s="83" t="s">
        <v>80</v>
      </c>
      <c r="AC1292" s="166"/>
      <c r="AD1292" s="106" t="s">
        <v>3252</v>
      </c>
    </row>
    <row r="1293" spans="1:30" s="171" customFormat="1" ht="51">
      <c r="A1293" s="126"/>
      <c r="B1293" s="106" t="s">
        <v>3337</v>
      </c>
      <c r="C1293" s="172"/>
      <c r="D1293" s="106" t="s">
        <v>3285</v>
      </c>
      <c r="E1293" s="126"/>
      <c r="F1293" s="83" t="s">
        <v>254</v>
      </c>
      <c r="G1293" s="126"/>
      <c r="H1293" s="83" t="s">
        <v>654</v>
      </c>
      <c r="I1293" s="126"/>
      <c r="J1293" s="83" t="s">
        <v>659</v>
      </c>
      <c r="K1293" s="126"/>
      <c r="L1293" s="83" t="s">
        <v>737</v>
      </c>
      <c r="M1293" s="126"/>
      <c r="N1293" s="106" t="s">
        <v>96</v>
      </c>
      <c r="O1293" s="172"/>
      <c r="P1293" s="106" t="s">
        <v>3250</v>
      </c>
      <c r="Q1293" s="126"/>
      <c r="R1293" s="83" t="s">
        <v>77</v>
      </c>
      <c r="S1293" s="126"/>
      <c r="T1293" s="124" t="s">
        <v>3251</v>
      </c>
      <c r="U1293" s="166"/>
      <c r="V1293" s="83" t="s">
        <v>79</v>
      </c>
      <c r="W1293" s="166"/>
      <c r="X1293" s="83" t="s">
        <v>80</v>
      </c>
      <c r="Y1293" s="168"/>
      <c r="Z1293" s="119" t="s">
        <v>79</v>
      </c>
      <c r="AA1293" s="168"/>
      <c r="AB1293" s="83" t="s">
        <v>80</v>
      </c>
      <c r="AC1293" s="166"/>
      <c r="AD1293" s="106" t="s">
        <v>3252</v>
      </c>
    </row>
    <row r="1294" spans="1:30" s="171" customFormat="1" ht="51">
      <c r="A1294" s="126"/>
      <c r="B1294" s="106" t="s">
        <v>3338</v>
      </c>
      <c r="C1294" s="172"/>
      <c r="D1294" s="106" t="s">
        <v>3277</v>
      </c>
      <c r="E1294" s="126"/>
      <c r="F1294" s="83" t="s">
        <v>254</v>
      </c>
      <c r="G1294" s="126"/>
      <c r="H1294" s="83" t="s">
        <v>654</v>
      </c>
      <c r="I1294" s="126"/>
      <c r="J1294" s="83" t="s">
        <v>659</v>
      </c>
      <c r="K1294" s="126"/>
      <c r="L1294" s="83" t="s">
        <v>737</v>
      </c>
      <c r="M1294" s="126"/>
      <c r="N1294" s="106" t="s">
        <v>96</v>
      </c>
      <c r="O1294" s="172"/>
      <c r="P1294" s="106" t="s">
        <v>3250</v>
      </c>
      <c r="Q1294" s="126"/>
      <c r="R1294" s="83" t="s">
        <v>77</v>
      </c>
      <c r="S1294" s="126"/>
      <c r="T1294" s="124" t="s">
        <v>3251</v>
      </c>
      <c r="U1294" s="166"/>
      <c r="V1294" s="83" t="s">
        <v>79</v>
      </c>
      <c r="W1294" s="166"/>
      <c r="X1294" s="83" t="s">
        <v>80</v>
      </c>
      <c r="Y1294" s="168"/>
      <c r="Z1294" s="119" t="s">
        <v>79</v>
      </c>
      <c r="AA1294" s="168"/>
      <c r="AB1294" s="83" t="s">
        <v>80</v>
      </c>
      <c r="AC1294" s="166"/>
      <c r="AD1294" s="106" t="s">
        <v>3252</v>
      </c>
    </row>
    <row r="1295" spans="1:30" s="171" customFormat="1" ht="51">
      <c r="A1295" s="126"/>
      <c r="B1295" s="106" t="s">
        <v>3339</v>
      </c>
      <c r="C1295" s="172"/>
      <c r="D1295" s="106" t="s">
        <v>3340</v>
      </c>
      <c r="E1295" s="126"/>
      <c r="F1295" s="83" t="s">
        <v>254</v>
      </c>
      <c r="G1295" s="126"/>
      <c r="H1295" s="83" t="s">
        <v>654</v>
      </c>
      <c r="I1295" s="126"/>
      <c r="J1295" s="83" t="s">
        <v>659</v>
      </c>
      <c r="K1295" s="126"/>
      <c r="L1295" s="83" t="s">
        <v>737</v>
      </c>
      <c r="M1295" s="126"/>
      <c r="N1295" s="106" t="s">
        <v>96</v>
      </c>
      <c r="O1295" s="172"/>
      <c r="P1295" s="106" t="s">
        <v>3250</v>
      </c>
      <c r="Q1295" s="126"/>
      <c r="R1295" s="83" t="s">
        <v>77</v>
      </c>
      <c r="S1295" s="126"/>
      <c r="T1295" s="124" t="s">
        <v>3251</v>
      </c>
      <c r="U1295" s="166"/>
      <c r="V1295" s="83" t="s">
        <v>79</v>
      </c>
      <c r="W1295" s="166"/>
      <c r="X1295" s="83" t="s">
        <v>80</v>
      </c>
      <c r="Y1295" s="168"/>
      <c r="Z1295" s="119" t="s">
        <v>79</v>
      </c>
      <c r="AA1295" s="168"/>
      <c r="AB1295" s="83" t="s">
        <v>80</v>
      </c>
      <c r="AC1295" s="166"/>
      <c r="AD1295" s="106" t="s">
        <v>3252</v>
      </c>
    </row>
    <row r="1296" spans="1:30" s="171" customFormat="1" ht="51">
      <c r="A1296" s="126"/>
      <c r="B1296" s="106" t="s">
        <v>3341</v>
      </c>
      <c r="C1296" s="172"/>
      <c r="D1296" s="106" t="s">
        <v>702</v>
      </c>
      <c r="E1296" s="126"/>
      <c r="F1296" s="83" t="s">
        <v>370</v>
      </c>
      <c r="G1296" s="126"/>
      <c r="H1296" s="83" t="s">
        <v>654</v>
      </c>
      <c r="I1296" s="126"/>
      <c r="J1296" s="83" t="s">
        <v>659</v>
      </c>
      <c r="K1296" s="126"/>
      <c r="L1296" s="83" t="s">
        <v>737</v>
      </c>
      <c r="M1296" s="126"/>
      <c r="N1296" s="106" t="s">
        <v>96</v>
      </c>
      <c r="O1296" s="172"/>
      <c r="P1296" s="106" t="s">
        <v>3250</v>
      </c>
      <c r="Q1296" s="126"/>
      <c r="R1296" s="83" t="s">
        <v>77</v>
      </c>
      <c r="S1296" s="126"/>
      <c r="T1296" s="124" t="s">
        <v>3251</v>
      </c>
      <c r="U1296" s="166"/>
      <c r="V1296" s="83" t="s">
        <v>79</v>
      </c>
      <c r="W1296" s="166"/>
      <c r="X1296" s="83" t="s">
        <v>80</v>
      </c>
      <c r="Y1296" s="168"/>
      <c r="Z1296" s="119" t="s">
        <v>79</v>
      </c>
      <c r="AA1296" s="168"/>
      <c r="AB1296" s="83" t="s">
        <v>80</v>
      </c>
      <c r="AC1296" s="166"/>
      <c r="AD1296" s="106" t="s">
        <v>3252</v>
      </c>
    </row>
    <row r="1297" spans="1:30" s="171" customFormat="1" ht="51">
      <c r="A1297" s="126"/>
      <c r="B1297" s="106" t="s">
        <v>3342</v>
      </c>
      <c r="C1297" s="172"/>
      <c r="D1297" s="106" t="s">
        <v>3287</v>
      </c>
      <c r="E1297" s="126"/>
      <c r="F1297" s="83" t="s">
        <v>254</v>
      </c>
      <c r="G1297" s="126"/>
      <c r="H1297" s="83" t="s">
        <v>654</v>
      </c>
      <c r="I1297" s="126"/>
      <c r="J1297" s="83" t="s">
        <v>659</v>
      </c>
      <c r="K1297" s="126"/>
      <c r="L1297" s="83" t="s">
        <v>737</v>
      </c>
      <c r="M1297" s="126"/>
      <c r="N1297" s="106" t="s">
        <v>96</v>
      </c>
      <c r="O1297" s="172"/>
      <c r="P1297" s="106" t="s">
        <v>3250</v>
      </c>
      <c r="Q1297" s="126"/>
      <c r="R1297" s="83" t="s">
        <v>77</v>
      </c>
      <c r="S1297" s="126"/>
      <c r="T1297" s="124" t="s">
        <v>3251</v>
      </c>
      <c r="U1297" s="166"/>
      <c r="V1297" s="83" t="s">
        <v>79</v>
      </c>
      <c r="W1297" s="166"/>
      <c r="X1297" s="83" t="s">
        <v>80</v>
      </c>
      <c r="Y1297" s="168"/>
      <c r="Z1297" s="119" t="s">
        <v>79</v>
      </c>
      <c r="AA1297" s="168"/>
      <c r="AB1297" s="83" t="s">
        <v>80</v>
      </c>
      <c r="AC1297" s="166"/>
      <c r="AD1297" s="106" t="s">
        <v>3252</v>
      </c>
    </row>
    <row r="1298" spans="1:30" s="171" customFormat="1" ht="51">
      <c r="A1298" s="126"/>
      <c r="B1298" s="106" t="s">
        <v>3343</v>
      </c>
      <c r="C1298" s="172"/>
      <c r="D1298" s="106" t="s">
        <v>3303</v>
      </c>
      <c r="E1298" s="126"/>
      <c r="F1298" s="83" t="s">
        <v>254</v>
      </c>
      <c r="G1298" s="126"/>
      <c r="H1298" s="83" t="s">
        <v>654</v>
      </c>
      <c r="I1298" s="126"/>
      <c r="J1298" s="83" t="s">
        <v>659</v>
      </c>
      <c r="K1298" s="126"/>
      <c r="L1298" s="83" t="s">
        <v>737</v>
      </c>
      <c r="M1298" s="126"/>
      <c r="N1298" s="106" t="s">
        <v>96</v>
      </c>
      <c r="O1298" s="172"/>
      <c r="P1298" s="106" t="s">
        <v>3250</v>
      </c>
      <c r="Q1298" s="126"/>
      <c r="R1298" s="83" t="s">
        <v>77</v>
      </c>
      <c r="S1298" s="126"/>
      <c r="T1298" s="124" t="s">
        <v>3251</v>
      </c>
      <c r="U1298" s="166"/>
      <c r="V1298" s="83" t="s">
        <v>79</v>
      </c>
      <c r="W1298" s="166"/>
      <c r="X1298" s="83" t="s">
        <v>80</v>
      </c>
      <c r="Y1298" s="168"/>
      <c r="Z1298" s="119" t="s">
        <v>79</v>
      </c>
      <c r="AA1298" s="168"/>
      <c r="AB1298" s="83" t="s">
        <v>80</v>
      </c>
      <c r="AC1298" s="166"/>
      <c r="AD1298" s="106" t="s">
        <v>3252</v>
      </c>
    </row>
    <row r="1299" spans="1:30" s="171" customFormat="1" ht="51">
      <c r="A1299" s="126"/>
      <c r="B1299" s="106" t="s">
        <v>3344</v>
      </c>
      <c r="C1299" s="172"/>
      <c r="D1299" s="106" t="s">
        <v>3271</v>
      </c>
      <c r="E1299" s="126"/>
      <c r="F1299" s="83" t="s">
        <v>254</v>
      </c>
      <c r="G1299" s="126"/>
      <c r="H1299" s="83" t="s">
        <v>654</v>
      </c>
      <c r="I1299" s="126"/>
      <c r="J1299" s="83" t="s">
        <v>659</v>
      </c>
      <c r="K1299" s="126"/>
      <c r="L1299" s="83" t="s">
        <v>737</v>
      </c>
      <c r="M1299" s="126"/>
      <c r="N1299" s="106" t="s">
        <v>96</v>
      </c>
      <c r="O1299" s="172"/>
      <c r="P1299" s="106" t="s">
        <v>3250</v>
      </c>
      <c r="Q1299" s="126"/>
      <c r="R1299" s="83" t="s">
        <v>77</v>
      </c>
      <c r="S1299" s="126"/>
      <c r="T1299" s="124" t="s">
        <v>3251</v>
      </c>
      <c r="U1299" s="166"/>
      <c r="V1299" s="83" t="s">
        <v>79</v>
      </c>
      <c r="W1299" s="166"/>
      <c r="X1299" s="83" t="s">
        <v>80</v>
      </c>
      <c r="Y1299" s="168"/>
      <c r="Z1299" s="119" t="s">
        <v>79</v>
      </c>
      <c r="AA1299" s="168"/>
      <c r="AB1299" s="83" t="s">
        <v>80</v>
      </c>
      <c r="AC1299" s="166"/>
      <c r="AD1299" s="106" t="s">
        <v>3252</v>
      </c>
    </row>
    <row r="1300" spans="1:30" s="171" customFormat="1" ht="51">
      <c r="A1300" s="126"/>
      <c r="B1300" s="106" t="s">
        <v>3345</v>
      </c>
      <c r="C1300" s="172"/>
      <c r="D1300" s="106" t="s">
        <v>3285</v>
      </c>
      <c r="E1300" s="126"/>
      <c r="F1300" s="83" t="s">
        <v>254</v>
      </c>
      <c r="G1300" s="126"/>
      <c r="H1300" s="83" t="s">
        <v>654</v>
      </c>
      <c r="I1300" s="126"/>
      <c r="J1300" s="83" t="s">
        <v>659</v>
      </c>
      <c r="K1300" s="126"/>
      <c r="L1300" s="83" t="s">
        <v>737</v>
      </c>
      <c r="M1300" s="126"/>
      <c r="N1300" s="106" t="s">
        <v>96</v>
      </c>
      <c r="O1300" s="172"/>
      <c r="P1300" s="106" t="s">
        <v>3250</v>
      </c>
      <c r="Q1300" s="126"/>
      <c r="R1300" s="83" t="s">
        <v>77</v>
      </c>
      <c r="S1300" s="126"/>
      <c r="T1300" s="124" t="s">
        <v>3251</v>
      </c>
      <c r="U1300" s="166"/>
      <c r="V1300" s="83" t="s">
        <v>79</v>
      </c>
      <c r="W1300" s="166"/>
      <c r="X1300" s="83" t="s">
        <v>80</v>
      </c>
      <c r="Y1300" s="168"/>
      <c r="Z1300" s="119" t="s">
        <v>79</v>
      </c>
      <c r="AA1300" s="168"/>
      <c r="AB1300" s="83" t="s">
        <v>80</v>
      </c>
      <c r="AC1300" s="166"/>
      <c r="AD1300" s="106" t="s">
        <v>3252</v>
      </c>
    </row>
    <row r="1301" spans="1:30" s="171" customFormat="1" ht="51">
      <c r="A1301" s="126"/>
      <c r="B1301" s="106" t="s">
        <v>3346</v>
      </c>
      <c r="C1301" s="172"/>
      <c r="D1301" s="106" t="s">
        <v>3347</v>
      </c>
      <c r="E1301" s="126"/>
      <c r="F1301" s="83" t="s">
        <v>254</v>
      </c>
      <c r="G1301" s="126"/>
      <c r="H1301" s="83" t="s">
        <v>654</v>
      </c>
      <c r="I1301" s="126"/>
      <c r="J1301" s="83" t="s">
        <v>659</v>
      </c>
      <c r="K1301" s="126"/>
      <c r="L1301" s="83" t="s">
        <v>737</v>
      </c>
      <c r="M1301" s="126"/>
      <c r="N1301" s="106" t="s">
        <v>96</v>
      </c>
      <c r="O1301" s="172"/>
      <c r="P1301" s="106" t="s">
        <v>3250</v>
      </c>
      <c r="Q1301" s="126"/>
      <c r="R1301" s="83" t="s">
        <v>77</v>
      </c>
      <c r="S1301" s="126"/>
      <c r="T1301" s="124" t="s">
        <v>3251</v>
      </c>
      <c r="U1301" s="166"/>
      <c r="V1301" s="83" t="s">
        <v>79</v>
      </c>
      <c r="W1301" s="166"/>
      <c r="X1301" s="83" t="s">
        <v>80</v>
      </c>
      <c r="Y1301" s="168"/>
      <c r="Z1301" s="119" t="s">
        <v>79</v>
      </c>
      <c r="AA1301" s="168"/>
      <c r="AB1301" s="83" t="s">
        <v>80</v>
      </c>
      <c r="AC1301" s="166"/>
      <c r="AD1301" s="106" t="s">
        <v>3252</v>
      </c>
    </row>
    <row r="1302" spans="1:30" s="171" customFormat="1" ht="51">
      <c r="A1302" s="126"/>
      <c r="B1302" s="106" t="s">
        <v>3348</v>
      </c>
      <c r="C1302" s="172"/>
      <c r="D1302" s="106" t="s">
        <v>3255</v>
      </c>
      <c r="E1302" s="126"/>
      <c r="F1302" s="83" t="s">
        <v>254</v>
      </c>
      <c r="G1302" s="126"/>
      <c r="H1302" s="83" t="s">
        <v>654</v>
      </c>
      <c r="I1302" s="126"/>
      <c r="J1302" s="83" t="s">
        <v>659</v>
      </c>
      <c r="K1302" s="126"/>
      <c r="L1302" s="83" t="s">
        <v>737</v>
      </c>
      <c r="M1302" s="126"/>
      <c r="N1302" s="106" t="s">
        <v>96</v>
      </c>
      <c r="O1302" s="172"/>
      <c r="P1302" s="106" t="s">
        <v>3250</v>
      </c>
      <c r="Q1302" s="126"/>
      <c r="R1302" s="83" t="s">
        <v>77</v>
      </c>
      <c r="S1302" s="126"/>
      <c r="T1302" s="124" t="s">
        <v>3251</v>
      </c>
      <c r="U1302" s="166"/>
      <c r="V1302" s="83" t="s">
        <v>79</v>
      </c>
      <c r="W1302" s="166"/>
      <c r="X1302" s="83" t="s">
        <v>80</v>
      </c>
      <c r="Y1302" s="168"/>
      <c r="Z1302" s="119" t="s">
        <v>79</v>
      </c>
      <c r="AA1302" s="168"/>
      <c r="AB1302" s="83" t="s">
        <v>80</v>
      </c>
      <c r="AC1302" s="166"/>
      <c r="AD1302" s="106" t="s">
        <v>3252</v>
      </c>
    </row>
    <row r="1303" spans="1:30" s="171" customFormat="1" ht="51">
      <c r="A1303" s="126"/>
      <c r="B1303" s="106" t="s">
        <v>3349</v>
      </c>
      <c r="C1303" s="172"/>
      <c r="D1303" s="106" t="s">
        <v>3303</v>
      </c>
      <c r="E1303" s="126"/>
      <c r="F1303" s="83" t="s">
        <v>254</v>
      </c>
      <c r="G1303" s="126"/>
      <c r="H1303" s="83" t="s">
        <v>654</v>
      </c>
      <c r="I1303" s="126"/>
      <c r="J1303" s="83" t="s">
        <v>659</v>
      </c>
      <c r="K1303" s="126"/>
      <c r="L1303" s="83" t="s">
        <v>737</v>
      </c>
      <c r="M1303" s="126"/>
      <c r="N1303" s="106" t="s">
        <v>96</v>
      </c>
      <c r="O1303" s="172"/>
      <c r="P1303" s="106" t="s">
        <v>3250</v>
      </c>
      <c r="Q1303" s="126"/>
      <c r="R1303" s="83" t="s">
        <v>77</v>
      </c>
      <c r="S1303" s="126"/>
      <c r="T1303" s="124" t="s">
        <v>3251</v>
      </c>
      <c r="U1303" s="166"/>
      <c r="V1303" s="83" t="s">
        <v>79</v>
      </c>
      <c r="W1303" s="166"/>
      <c r="X1303" s="83" t="s">
        <v>80</v>
      </c>
      <c r="Y1303" s="168"/>
      <c r="Z1303" s="119" t="s">
        <v>79</v>
      </c>
      <c r="AA1303" s="168"/>
      <c r="AB1303" s="83" t="s">
        <v>80</v>
      </c>
      <c r="AC1303" s="166"/>
      <c r="AD1303" s="106" t="s">
        <v>3252</v>
      </c>
    </row>
    <row r="1304" spans="1:30" s="171" customFormat="1" ht="51">
      <c r="A1304" s="126"/>
      <c r="B1304" s="106" t="s">
        <v>3350</v>
      </c>
      <c r="C1304" s="172"/>
      <c r="D1304" s="106" t="s">
        <v>1137</v>
      </c>
      <c r="E1304" s="126"/>
      <c r="F1304" s="83" t="s">
        <v>254</v>
      </c>
      <c r="G1304" s="126"/>
      <c r="H1304" s="83" t="s">
        <v>654</v>
      </c>
      <c r="I1304" s="126"/>
      <c r="J1304" s="83" t="s">
        <v>659</v>
      </c>
      <c r="K1304" s="126"/>
      <c r="L1304" s="83" t="s">
        <v>737</v>
      </c>
      <c r="M1304" s="126"/>
      <c r="N1304" s="106" t="s">
        <v>96</v>
      </c>
      <c r="O1304" s="172"/>
      <c r="P1304" s="106" t="s">
        <v>3250</v>
      </c>
      <c r="Q1304" s="126"/>
      <c r="R1304" s="83" t="s">
        <v>77</v>
      </c>
      <c r="S1304" s="126"/>
      <c r="T1304" s="124" t="s">
        <v>3251</v>
      </c>
      <c r="U1304" s="166"/>
      <c r="V1304" s="83" t="s">
        <v>79</v>
      </c>
      <c r="W1304" s="166"/>
      <c r="X1304" s="83" t="s">
        <v>80</v>
      </c>
      <c r="Y1304" s="168"/>
      <c r="Z1304" s="119" t="s">
        <v>79</v>
      </c>
      <c r="AA1304" s="168"/>
      <c r="AB1304" s="83" t="s">
        <v>80</v>
      </c>
      <c r="AC1304" s="166"/>
      <c r="AD1304" s="106" t="s">
        <v>3252</v>
      </c>
    </row>
    <row r="1305" spans="1:30" s="171" customFormat="1" ht="51">
      <c r="A1305" s="126"/>
      <c r="B1305" s="106" t="s">
        <v>3351</v>
      </c>
      <c r="C1305" s="172"/>
      <c r="D1305" s="106" t="s">
        <v>702</v>
      </c>
      <c r="E1305" s="126"/>
      <c r="F1305" s="83" t="s">
        <v>370</v>
      </c>
      <c r="G1305" s="126"/>
      <c r="H1305" s="83" t="s">
        <v>654</v>
      </c>
      <c r="I1305" s="126"/>
      <c r="J1305" s="83" t="s">
        <v>659</v>
      </c>
      <c r="K1305" s="126"/>
      <c r="L1305" s="83" t="s">
        <v>737</v>
      </c>
      <c r="M1305" s="126"/>
      <c r="N1305" s="106" t="s">
        <v>96</v>
      </c>
      <c r="O1305" s="172"/>
      <c r="P1305" s="106" t="s">
        <v>3250</v>
      </c>
      <c r="Q1305" s="126"/>
      <c r="R1305" s="83" t="s">
        <v>77</v>
      </c>
      <c r="S1305" s="126"/>
      <c r="T1305" s="124" t="s">
        <v>3251</v>
      </c>
      <c r="U1305" s="166"/>
      <c r="V1305" s="83" t="s">
        <v>79</v>
      </c>
      <c r="W1305" s="166"/>
      <c r="X1305" s="83" t="s">
        <v>80</v>
      </c>
      <c r="Y1305" s="168"/>
      <c r="Z1305" s="119" t="s">
        <v>79</v>
      </c>
      <c r="AA1305" s="168"/>
      <c r="AB1305" s="83" t="s">
        <v>80</v>
      </c>
      <c r="AC1305" s="166"/>
      <c r="AD1305" s="106" t="s">
        <v>3252</v>
      </c>
    </row>
    <row r="1306" spans="1:30" s="171" customFormat="1" ht="51">
      <c r="A1306" s="126"/>
      <c r="B1306" s="106" t="s">
        <v>3352</v>
      </c>
      <c r="C1306" s="172"/>
      <c r="D1306" s="106" t="s">
        <v>370</v>
      </c>
      <c r="E1306" s="126"/>
      <c r="F1306" s="83" t="s">
        <v>370</v>
      </c>
      <c r="G1306" s="126"/>
      <c r="H1306" s="83" t="s">
        <v>654</v>
      </c>
      <c r="I1306" s="126"/>
      <c r="J1306" s="83" t="s">
        <v>659</v>
      </c>
      <c r="K1306" s="126"/>
      <c r="L1306" s="83" t="s">
        <v>737</v>
      </c>
      <c r="M1306" s="126"/>
      <c r="N1306" s="106" t="s">
        <v>96</v>
      </c>
      <c r="O1306" s="172"/>
      <c r="P1306" s="106" t="s">
        <v>3250</v>
      </c>
      <c r="Q1306" s="126"/>
      <c r="R1306" s="83" t="s">
        <v>77</v>
      </c>
      <c r="S1306" s="126"/>
      <c r="T1306" s="124" t="s">
        <v>3251</v>
      </c>
      <c r="U1306" s="166"/>
      <c r="V1306" s="83" t="s">
        <v>79</v>
      </c>
      <c r="W1306" s="166"/>
      <c r="X1306" s="83" t="s">
        <v>80</v>
      </c>
      <c r="Y1306" s="168"/>
      <c r="Z1306" s="119" t="s">
        <v>79</v>
      </c>
      <c r="AA1306" s="168"/>
      <c r="AB1306" s="83" t="s">
        <v>80</v>
      </c>
      <c r="AC1306" s="166"/>
      <c r="AD1306" s="106" t="s">
        <v>3252</v>
      </c>
    </row>
    <row r="1307" spans="1:30" s="171" customFormat="1" ht="51">
      <c r="A1307" s="126"/>
      <c r="B1307" s="106" t="s">
        <v>3353</v>
      </c>
      <c r="C1307" s="172"/>
      <c r="D1307" s="106" t="s">
        <v>1515</v>
      </c>
      <c r="E1307" s="126"/>
      <c r="F1307" s="83" t="s">
        <v>254</v>
      </c>
      <c r="G1307" s="126"/>
      <c r="H1307" s="83" t="s">
        <v>654</v>
      </c>
      <c r="I1307" s="126"/>
      <c r="J1307" s="83" t="s">
        <v>659</v>
      </c>
      <c r="K1307" s="126"/>
      <c r="L1307" s="83" t="s">
        <v>737</v>
      </c>
      <c r="M1307" s="126"/>
      <c r="N1307" s="106" t="s">
        <v>96</v>
      </c>
      <c r="O1307" s="172"/>
      <c r="P1307" s="106" t="s">
        <v>3250</v>
      </c>
      <c r="Q1307" s="126"/>
      <c r="R1307" s="83" t="s">
        <v>77</v>
      </c>
      <c r="S1307" s="126"/>
      <c r="T1307" s="124" t="s">
        <v>3251</v>
      </c>
      <c r="U1307" s="166"/>
      <c r="V1307" s="83" t="s">
        <v>79</v>
      </c>
      <c r="W1307" s="166"/>
      <c r="X1307" s="83" t="s">
        <v>80</v>
      </c>
      <c r="Y1307" s="168"/>
      <c r="Z1307" s="119" t="s">
        <v>79</v>
      </c>
      <c r="AA1307" s="168"/>
      <c r="AB1307" s="83" t="s">
        <v>80</v>
      </c>
      <c r="AC1307" s="166"/>
      <c r="AD1307" s="106" t="s">
        <v>3252</v>
      </c>
    </row>
    <row r="1308" spans="1:30" s="171" customFormat="1" ht="51">
      <c r="A1308" s="126"/>
      <c r="B1308" s="106" t="s">
        <v>3354</v>
      </c>
      <c r="C1308" s="172"/>
      <c r="D1308" s="106" t="s">
        <v>3275</v>
      </c>
      <c r="E1308" s="126"/>
      <c r="F1308" s="83" t="s">
        <v>254</v>
      </c>
      <c r="G1308" s="126"/>
      <c r="H1308" s="83" t="s">
        <v>654</v>
      </c>
      <c r="I1308" s="126"/>
      <c r="J1308" s="83" t="s">
        <v>659</v>
      </c>
      <c r="K1308" s="126"/>
      <c r="L1308" s="83" t="s">
        <v>737</v>
      </c>
      <c r="M1308" s="126"/>
      <c r="N1308" s="106" t="s">
        <v>96</v>
      </c>
      <c r="O1308" s="172"/>
      <c r="P1308" s="106" t="s">
        <v>3250</v>
      </c>
      <c r="Q1308" s="126"/>
      <c r="R1308" s="83" t="s">
        <v>77</v>
      </c>
      <c r="S1308" s="126"/>
      <c r="T1308" s="124" t="s">
        <v>3251</v>
      </c>
      <c r="U1308" s="166"/>
      <c r="V1308" s="83" t="s">
        <v>79</v>
      </c>
      <c r="W1308" s="166"/>
      <c r="X1308" s="83" t="s">
        <v>80</v>
      </c>
      <c r="Y1308" s="168"/>
      <c r="Z1308" s="119" t="s">
        <v>79</v>
      </c>
      <c r="AA1308" s="168"/>
      <c r="AB1308" s="83" t="s">
        <v>80</v>
      </c>
      <c r="AC1308" s="166"/>
      <c r="AD1308" s="106" t="s">
        <v>3252</v>
      </c>
    </row>
    <row r="1309" spans="1:30" s="171" customFormat="1" ht="51">
      <c r="A1309" s="126"/>
      <c r="B1309" s="106" t="s">
        <v>3355</v>
      </c>
      <c r="C1309" s="172"/>
      <c r="D1309" s="106" t="s">
        <v>3285</v>
      </c>
      <c r="E1309" s="126"/>
      <c r="F1309" s="83" t="s">
        <v>254</v>
      </c>
      <c r="G1309" s="126"/>
      <c r="H1309" s="83" t="s">
        <v>654</v>
      </c>
      <c r="I1309" s="126"/>
      <c r="J1309" s="83" t="s">
        <v>659</v>
      </c>
      <c r="K1309" s="126"/>
      <c r="L1309" s="83" t="s">
        <v>737</v>
      </c>
      <c r="M1309" s="126"/>
      <c r="N1309" s="106" t="s">
        <v>96</v>
      </c>
      <c r="O1309" s="172"/>
      <c r="P1309" s="106" t="s">
        <v>3250</v>
      </c>
      <c r="Q1309" s="126"/>
      <c r="R1309" s="83" t="s">
        <v>77</v>
      </c>
      <c r="S1309" s="126"/>
      <c r="T1309" s="124" t="s">
        <v>3251</v>
      </c>
      <c r="U1309" s="166"/>
      <c r="V1309" s="83" t="s">
        <v>79</v>
      </c>
      <c r="W1309" s="166"/>
      <c r="X1309" s="83" t="s">
        <v>80</v>
      </c>
      <c r="Y1309" s="168"/>
      <c r="Z1309" s="119" t="s">
        <v>79</v>
      </c>
      <c r="AA1309" s="168"/>
      <c r="AB1309" s="83" t="s">
        <v>80</v>
      </c>
      <c r="AC1309" s="166"/>
      <c r="AD1309" s="106" t="s">
        <v>3252</v>
      </c>
    </row>
    <row r="1310" spans="1:30" s="171" customFormat="1" ht="51">
      <c r="A1310" s="126"/>
      <c r="B1310" s="106" t="s">
        <v>3356</v>
      </c>
      <c r="C1310" s="172"/>
      <c r="D1310" s="106" t="s">
        <v>3285</v>
      </c>
      <c r="E1310" s="126"/>
      <c r="F1310" s="83" t="s">
        <v>254</v>
      </c>
      <c r="G1310" s="126"/>
      <c r="H1310" s="83" t="s">
        <v>654</v>
      </c>
      <c r="I1310" s="126"/>
      <c r="J1310" s="83" t="s">
        <v>659</v>
      </c>
      <c r="K1310" s="126"/>
      <c r="L1310" s="83" t="s">
        <v>737</v>
      </c>
      <c r="M1310" s="126"/>
      <c r="N1310" s="106" t="s">
        <v>96</v>
      </c>
      <c r="O1310" s="172"/>
      <c r="P1310" s="106" t="s">
        <v>3250</v>
      </c>
      <c r="Q1310" s="126"/>
      <c r="R1310" s="83" t="s">
        <v>77</v>
      </c>
      <c r="S1310" s="126"/>
      <c r="T1310" s="124" t="s">
        <v>3251</v>
      </c>
      <c r="U1310" s="166"/>
      <c r="V1310" s="83" t="s">
        <v>79</v>
      </c>
      <c r="W1310" s="166"/>
      <c r="X1310" s="83" t="s">
        <v>80</v>
      </c>
      <c r="Y1310" s="168"/>
      <c r="Z1310" s="119" t="s">
        <v>79</v>
      </c>
      <c r="AA1310" s="168"/>
      <c r="AB1310" s="83" t="s">
        <v>80</v>
      </c>
      <c r="AC1310" s="166"/>
      <c r="AD1310" s="106" t="s">
        <v>3252</v>
      </c>
    </row>
    <row r="1311" spans="1:30" s="171" customFormat="1" ht="51">
      <c r="A1311" s="126"/>
      <c r="B1311" s="106" t="s">
        <v>3357</v>
      </c>
      <c r="C1311" s="172"/>
      <c r="D1311" s="106" t="s">
        <v>2875</v>
      </c>
      <c r="E1311" s="126"/>
      <c r="F1311" s="83" t="s">
        <v>123</v>
      </c>
      <c r="G1311" s="126"/>
      <c r="H1311" s="83" t="s">
        <v>654</v>
      </c>
      <c r="I1311" s="126"/>
      <c r="J1311" s="83" t="s">
        <v>659</v>
      </c>
      <c r="K1311" s="126"/>
      <c r="L1311" s="83" t="s">
        <v>737</v>
      </c>
      <c r="M1311" s="126"/>
      <c r="N1311" s="106" t="s">
        <v>96</v>
      </c>
      <c r="O1311" s="172"/>
      <c r="P1311" s="106" t="s">
        <v>3250</v>
      </c>
      <c r="Q1311" s="126"/>
      <c r="R1311" s="83" t="s">
        <v>77</v>
      </c>
      <c r="S1311" s="126"/>
      <c r="T1311" s="124" t="s">
        <v>3251</v>
      </c>
      <c r="U1311" s="166"/>
      <c r="V1311" s="83" t="s">
        <v>79</v>
      </c>
      <c r="W1311" s="166"/>
      <c r="X1311" s="83" t="s">
        <v>80</v>
      </c>
      <c r="Y1311" s="168"/>
      <c r="Z1311" s="119" t="s">
        <v>79</v>
      </c>
      <c r="AA1311" s="168"/>
      <c r="AB1311" s="83" t="s">
        <v>80</v>
      </c>
      <c r="AC1311" s="166"/>
      <c r="AD1311" s="106" t="s">
        <v>3252</v>
      </c>
    </row>
    <row r="1312" spans="1:30" s="171" customFormat="1" ht="51">
      <c r="A1312" s="126"/>
      <c r="B1312" s="106" t="s">
        <v>3358</v>
      </c>
      <c r="C1312" s="172"/>
      <c r="D1312" s="106" t="s">
        <v>3347</v>
      </c>
      <c r="E1312" s="126"/>
      <c r="F1312" s="83" t="s">
        <v>254</v>
      </c>
      <c r="G1312" s="126"/>
      <c r="H1312" s="83" t="s">
        <v>654</v>
      </c>
      <c r="I1312" s="126"/>
      <c r="J1312" s="83" t="s">
        <v>659</v>
      </c>
      <c r="K1312" s="126"/>
      <c r="L1312" s="83" t="s">
        <v>737</v>
      </c>
      <c r="M1312" s="126"/>
      <c r="N1312" s="106" t="s">
        <v>96</v>
      </c>
      <c r="O1312" s="172"/>
      <c r="P1312" s="106" t="s">
        <v>3250</v>
      </c>
      <c r="Q1312" s="126"/>
      <c r="R1312" s="83" t="s">
        <v>77</v>
      </c>
      <c r="S1312" s="126"/>
      <c r="T1312" s="124" t="s">
        <v>3251</v>
      </c>
      <c r="U1312" s="166"/>
      <c r="V1312" s="83" t="s">
        <v>79</v>
      </c>
      <c r="W1312" s="166"/>
      <c r="X1312" s="83" t="s">
        <v>80</v>
      </c>
      <c r="Y1312" s="168"/>
      <c r="Z1312" s="119" t="s">
        <v>79</v>
      </c>
      <c r="AA1312" s="168"/>
      <c r="AB1312" s="83" t="s">
        <v>80</v>
      </c>
      <c r="AC1312" s="166"/>
      <c r="AD1312" s="106" t="s">
        <v>3252</v>
      </c>
    </row>
    <row r="1313" spans="1:30" s="171" customFormat="1" ht="51">
      <c r="A1313" s="126"/>
      <c r="B1313" s="106" t="s">
        <v>3359</v>
      </c>
      <c r="C1313" s="172"/>
      <c r="D1313" s="106" t="s">
        <v>71</v>
      </c>
      <c r="E1313" s="126"/>
      <c r="F1313" s="83" t="s">
        <v>71</v>
      </c>
      <c r="G1313" s="126"/>
      <c r="H1313" s="83" t="s">
        <v>654</v>
      </c>
      <c r="I1313" s="126"/>
      <c r="J1313" s="83" t="s">
        <v>659</v>
      </c>
      <c r="K1313" s="126"/>
      <c r="L1313" s="83" t="s">
        <v>737</v>
      </c>
      <c r="M1313" s="126"/>
      <c r="N1313" s="106" t="s">
        <v>96</v>
      </c>
      <c r="O1313" s="172"/>
      <c r="P1313" s="106" t="s">
        <v>3250</v>
      </c>
      <c r="Q1313" s="126"/>
      <c r="R1313" s="83" t="s">
        <v>77</v>
      </c>
      <c r="S1313" s="126"/>
      <c r="T1313" s="124" t="s">
        <v>3251</v>
      </c>
      <c r="U1313" s="166"/>
      <c r="V1313" s="83" t="s">
        <v>79</v>
      </c>
      <c r="W1313" s="166"/>
      <c r="X1313" s="83" t="s">
        <v>80</v>
      </c>
      <c r="Y1313" s="168"/>
      <c r="Z1313" s="119" t="s">
        <v>79</v>
      </c>
      <c r="AA1313" s="168"/>
      <c r="AB1313" s="83" t="s">
        <v>80</v>
      </c>
      <c r="AC1313" s="166"/>
      <c r="AD1313" s="106" t="s">
        <v>3252</v>
      </c>
    </row>
    <row r="1314" spans="1:30" s="171" customFormat="1" ht="51">
      <c r="A1314" s="126"/>
      <c r="B1314" s="106" t="s">
        <v>3360</v>
      </c>
      <c r="C1314" s="172"/>
      <c r="D1314" s="106" t="s">
        <v>702</v>
      </c>
      <c r="E1314" s="126"/>
      <c r="F1314" s="83" t="s">
        <v>370</v>
      </c>
      <c r="G1314" s="126"/>
      <c r="H1314" s="83" t="s">
        <v>654</v>
      </c>
      <c r="I1314" s="126"/>
      <c r="J1314" s="83" t="s">
        <v>659</v>
      </c>
      <c r="K1314" s="126"/>
      <c r="L1314" s="83" t="s">
        <v>737</v>
      </c>
      <c r="M1314" s="126"/>
      <c r="N1314" s="106" t="s">
        <v>96</v>
      </c>
      <c r="O1314" s="172"/>
      <c r="P1314" s="106" t="s">
        <v>3250</v>
      </c>
      <c r="Q1314" s="126"/>
      <c r="R1314" s="83" t="s">
        <v>77</v>
      </c>
      <c r="S1314" s="126"/>
      <c r="T1314" s="124" t="s">
        <v>3251</v>
      </c>
      <c r="U1314" s="166"/>
      <c r="V1314" s="83" t="s">
        <v>79</v>
      </c>
      <c r="W1314" s="166"/>
      <c r="X1314" s="83" t="s">
        <v>80</v>
      </c>
      <c r="Y1314" s="168"/>
      <c r="Z1314" s="119" t="s">
        <v>79</v>
      </c>
      <c r="AA1314" s="168"/>
      <c r="AB1314" s="83" t="s">
        <v>80</v>
      </c>
      <c r="AC1314" s="166"/>
      <c r="AD1314" s="106" t="s">
        <v>3252</v>
      </c>
    </row>
    <row r="1315" spans="1:30" s="171" customFormat="1" ht="51">
      <c r="A1315" s="126"/>
      <c r="B1315" s="106" t="s">
        <v>3361</v>
      </c>
      <c r="C1315" s="172"/>
      <c r="D1315" s="106" t="s">
        <v>3362</v>
      </c>
      <c r="E1315" s="126"/>
      <c r="F1315" s="83" t="s">
        <v>254</v>
      </c>
      <c r="G1315" s="126"/>
      <c r="H1315" s="83" t="s">
        <v>654</v>
      </c>
      <c r="I1315" s="126"/>
      <c r="J1315" s="83" t="s">
        <v>659</v>
      </c>
      <c r="K1315" s="126"/>
      <c r="L1315" s="83" t="s">
        <v>737</v>
      </c>
      <c r="M1315" s="126"/>
      <c r="N1315" s="106" t="s">
        <v>96</v>
      </c>
      <c r="O1315" s="172"/>
      <c r="P1315" s="106" t="s">
        <v>3250</v>
      </c>
      <c r="Q1315" s="126"/>
      <c r="R1315" s="83" t="s">
        <v>77</v>
      </c>
      <c r="S1315" s="126"/>
      <c r="T1315" s="124" t="s">
        <v>3251</v>
      </c>
      <c r="U1315" s="166"/>
      <c r="V1315" s="83" t="s">
        <v>79</v>
      </c>
      <c r="W1315" s="166"/>
      <c r="X1315" s="83" t="s">
        <v>80</v>
      </c>
      <c r="Y1315" s="168"/>
      <c r="Z1315" s="119" t="s">
        <v>79</v>
      </c>
      <c r="AA1315" s="168"/>
      <c r="AB1315" s="83" t="s">
        <v>80</v>
      </c>
      <c r="AC1315" s="166"/>
      <c r="AD1315" s="106" t="s">
        <v>3252</v>
      </c>
    </row>
    <row r="1316" spans="1:30" s="171" customFormat="1" ht="51">
      <c r="A1316" s="126"/>
      <c r="B1316" s="106" t="s">
        <v>3363</v>
      </c>
      <c r="C1316" s="172"/>
      <c r="D1316" s="106" t="s">
        <v>1515</v>
      </c>
      <c r="E1316" s="126"/>
      <c r="F1316" s="83" t="s">
        <v>254</v>
      </c>
      <c r="G1316" s="126"/>
      <c r="H1316" s="83" t="s">
        <v>654</v>
      </c>
      <c r="I1316" s="126"/>
      <c r="J1316" s="83" t="s">
        <v>659</v>
      </c>
      <c r="K1316" s="126"/>
      <c r="L1316" s="83" t="s">
        <v>737</v>
      </c>
      <c r="M1316" s="126"/>
      <c r="N1316" s="106" t="s">
        <v>96</v>
      </c>
      <c r="O1316" s="172"/>
      <c r="P1316" s="106" t="s">
        <v>3250</v>
      </c>
      <c r="Q1316" s="126"/>
      <c r="R1316" s="83" t="s">
        <v>77</v>
      </c>
      <c r="S1316" s="126"/>
      <c r="T1316" s="124" t="s">
        <v>3251</v>
      </c>
      <c r="U1316" s="166"/>
      <c r="V1316" s="83" t="s">
        <v>79</v>
      </c>
      <c r="W1316" s="166"/>
      <c r="X1316" s="83" t="s">
        <v>80</v>
      </c>
      <c r="Y1316" s="168"/>
      <c r="Z1316" s="119" t="s">
        <v>79</v>
      </c>
      <c r="AA1316" s="168"/>
      <c r="AB1316" s="83" t="s">
        <v>80</v>
      </c>
      <c r="AC1316" s="166"/>
      <c r="AD1316" s="106" t="s">
        <v>3252</v>
      </c>
    </row>
    <row r="1317" spans="1:30" s="171" customFormat="1" ht="51">
      <c r="A1317" s="126"/>
      <c r="B1317" s="106" t="s">
        <v>3364</v>
      </c>
      <c r="C1317" s="172"/>
      <c r="D1317" s="106" t="s">
        <v>748</v>
      </c>
      <c r="E1317" s="126"/>
      <c r="F1317" s="83" t="s">
        <v>254</v>
      </c>
      <c r="G1317" s="126"/>
      <c r="H1317" s="83" t="s">
        <v>654</v>
      </c>
      <c r="I1317" s="126"/>
      <c r="J1317" s="83" t="s">
        <v>659</v>
      </c>
      <c r="K1317" s="126"/>
      <c r="L1317" s="83" t="s">
        <v>737</v>
      </c>
      <c r="M1317" s="126"/>
      <c r="N1317" s="106" t="s">
        <v>96</v>
      </c>
      <c r="O1317" s="172"/>
      <c r="P1317" s="106" t="s">
        <v>3250</v>
      </c>
      <c r="Q1317" s="126"/>
      <c r="R1317" s="83" t="s">
        <v>77</v>
      </c>
      <c r="S1317" s="126"/>
      <c r="T1317" s="124" t="s">
        <v>3251</v>
      </c>
      <c r="U1317" s="166"/>
      <c r="V1317" s="83" t="s">
        <v>79</v>
      </c>
      <c r="W1317" s="166"/>
      <c r="X1317" s="83" t="s">
        <v>80</v>
      </c>
      <c r="Y1317" s="168"/>
      <c r="Z1317" s="119" t="s">
        <v>79</v>
      </c>
      <c r="AA1317" s="168"/>
      <c r="AB1317" s="83" t="s">
        <v>80</v>
      </c>
      <c r="AC1317" s="166"/>
      <c r="AD1317" s="106" t="s">
        <v>3252</v>
      </c>
    </row>
    <row r="1318" spans="1:30" s="171" customFormat="1" ht="51">
      <c r="A1318" s="126"/>
      <c r="B1318" s="106" t="s">
        <v>3365</v>
      </c>
      <c r="C1318" s="172"/>
      <c r="D1318" s="106" t="s">
        <v>702</v>
      </c>
      <c r="E1318" s="126"/>
      <c r="F1318" s="83" t="s">
        <v>370</v>
      </c>
      <c r="G1318" s="126"/>
      <c r="H1318" s="83" t="s">
        <v>654</v>
      </c>
      <c r="I1318" s="126"/>
      <c r="J1318" s="83" t="s">
        <v>659</v>
      </c>
      <c r="K1318" s="126"/>
      <c r="L1318" s="83" t="s">
        <v>737</v>
      </c>
      <c r="M1318" s="126"/>
      <c r="N1318" s="106" t="s">
        <v>96</v>
      </c>
      <c r="O1318" s="172"/>
      <c r="P1318" s="106" t="s">
        <v>3250</v>
      </c>
      <c r="Q1318" s="126"/>
      <c r="R1318" s="83" t="s">
        <v>77</v>
      </c>
      <c r="S1318" s="126"/>
      <c r="T1318" s="124" t="s">
        <v>3251</v>
      </c>
      <c r="U1318" s="166"/>
      <c r="V1318" s="83" t="s">
        <v>79</v>
      </c>
      <c r="W1318" s="166"/>
      <c r="X1318" s="83" t="s">
        <v>80</v>
      </c>
      <c r="Y1318" s="168"/>
      <c r="Z1318" s="119" t="s">
        <v>79</v>
      </c>
      <c r="AA1318" s="168"/>
      <c r="AB1318" s="83" t="s">
        <v>80</v>
      </c>
      <c r="AC1318" s="166"/>
      <c r="AD1318" s="106" t="s">
        <v>3252</v>
      </c>
    </row>
    <row r="1319" spans="1:30" s="171" customFormat="1" ht="51">
      <c r="A1319" s="126"/>
      <c r="B1319" s="106" t="s">
        <v>3366</v>
      </c>
      <c r="C1319" s="172"/>
      <c r="D1319" s="106" t="s">
        <v>702</v>
      </c>
      <c r="E1319" s="126"/>
      <c r="F1319" s="83" t="s">
        <v>370</v>
      </c>
      <c r="G1319" s="126"/>
      <c r="H1319" s="83" t="s">
        <v>654</v>
      </c>
      <c r="I1319" s="126"/>
      <c r="J1319" s="83" t="s">
        <v>659</v>
      </c>
      <c r="K1319" s="126"/>
      <c r="L1319" s="83" t="s">
        <v>737</v>
      </c>
      <c r="M1319" s="126"/>
      <c r="N1319" s="106" t="s">
        <v>96</v>
      </c>
      <c r="O1319" s="172"/>
      <c r="P1319" s="106" t="s">
        <v>3250</v>
      </c>
      <c r="Q1319" s="126"/>
      <c r="R1319" s="83" t="s">
        <v>77</v>
      </c>
      <c r="S1319" s="126"/>
      <c r="T1319" s="124" t="s">
        <v>3251</v>
      </c>
      <c r="U1319" s="166"/>
      <c r="V1319" s="83" t="s">
        <v>79</v>
      </c>
      <c r="W1319" s="166"/>
      <c r="X1319" s="83" t="s">
        <v>80</v>
      </c>
      <c r="Y1319" s="168"/>
      <c r="Z1319" s="119" t="s">
        <v>79</v>
      </c>
      <c r="AA1319" s="168"/>
      <c r="AB1319" s="83" t="s">
        <v>80</v>
      </c>
      <c r="AC1319" s="166"/>
      <c r="AD1319" s="106" t="s">
        <v>3252</v>
      </c>
    </row>
    <row r="1320" spans="1:30" s="171" customFormat="1" ht="51">
      <c r="A1320" s="126"/>
      <c r="B1320" s="106" t="s">
        <v>3367</v>
      </c>
      <c r="C1320" s="172"/>
      <c r="D1320" s="106" t="s">
        <v>702</v>
      </c>
      <c r="E1320" s="126"/>
      <c r="F1320" s="83" t="s">
        <v>370</v>
      </c>
      <c r="G1320" s="126"/>
      <c r="H1320" s="83" t="s">
        <v>654</v>
      </c>
      <c r="I1320" s="126"/>
      <c r="J1320" s="83" t="s">
        <v>659</v>
      </c>
      <c r="K1320" s="126"/>
      <c r="L1320" s="83" t="s">
        <v>737</v>
      </c>
      <c r="M1320" s="126"/>
      <c r="N1320" s="106" t="s">
        <v>96</v>
      </c>
      <c r="O1320" s="172"/>
      <c r="P1320" s="106" t="s">
        <v>3250</v>
      </c>
      <c r="Q1320" s="126"/>
      <c r="R1320" s="83" t="s">
        <v>77</v>
      </c>
      <c r="S1320" s="126"/>
      <c r="T1320" s="124" t="s">
        <v>3251</v>
      </c>
      <c r="U1320" s="166"/>
      <c r="V1320" s="83" t="s">
        <v>79</v>
      </c>
      <c r="W1320" s="166"/>
      <c r="X1320" s="83" t="s">
        <v>80</v>
      </c>
      <c r="Y1320" s="168"/>
      <c r="Z1320" s="119" t="s">
        <v>79</v>
      </c>
      <c r="AA1320" s="168"/>
      <c r="AB1320" s="83" t="s">
        <v>80</v>
      </c>
      <c r="AC1320" s="166"/>
      <c r="AD1320" s="106" t="s">
        <v>3252</v>
      </c>
    </row>
    <row r="1321" spans="1:30" s="171" customFormat="1" ht="51">
      <c r="A1321" s="126"/>
      <c r="B1321" s="106" t="s">
        <v>3368</v>
      </c>
      <c r="C1321" s="172"/>
      <c r="D1321" s="106" t="s">
        <v>71</v>
      </c>
      <c r="E1321" s="126"/>
      <c r="F1321" s="83" t="s">
        <v>71</v>
      </c>
      <c r="G1321" s="126"/>
      <c r="H1321" s="83" t="s">
        <v>654</v>
      </c>
      <c r="I1321" s="126"/>
      <c r="J1321" s="83" t="s">
        <v>659</v>
      </c>
      <c r="K1321" s="126"/>
      <c r="L1321" s="83" t="s">
        <v>737</v>
      </c>
      <c r="M1321" s="126"/>
      <c r="N1321" s="106" t="s">
        <v>96</v>
      </c>
      <c r="O1321" s="172"/>
      <c r="P1321" s="106" t="s">
        <v>3250</v>
      </c>
      <c r="Q1321" s="126"/>
      <c r="R1321" s="83" t="s">
        <v>77</v>
      </c>
      <c r="S1321" s="126"/>
      <c r="T1321" s="124" t="s">
        <v>3251</v>
      </c>
      <c r="U1321" s="166"/>
      <c r="V1321" s="83" t="s">
        <v>79</v>
      </c>
      <c r="W1321" s="166"/>
      <c r="X1321" s="83" t="s">
        <v>80</v>
      </c>
      <c r="Y1321" s="168"/>
      <c r="Z1321" s="119" t="s">
        <v>79</v>
      </c>
      <c r="AA1321" s="168"/>
      <c r="AB1321" s="83" t="s">
        <v>80</v>
      </c>
      <c r="AC1321" s="166"/>
      <c r="AD1321" s="106" t="s">
        <v>3252</v>
      </c>
    </row>
    <row r="1322" spans="1:30" s="171" customFormat="1" ht="51">
      <c r="A1322" s="126"/>
      <c r="B1322" s="106" t="s">
        <v>3369</v>
      </c>
      <c r="C1322" s="172"/>
      <c r="D1322" s="106" t="s">
        <v>370</v>
      </c>
      <c r="E1322" s="126"/>
      <c r="F1322" s="83" t="s">
        <v>370</v>
      </c>
      <c r="G1322" s="126"/>
      <c r="H1322" s="83" t="s">
        <v>654</v>
      </c>
      <c r="I1322" s="126"/>
      <c r="J1322" s="83" t="s">
        <v>659</v>
      </c>
      <c r="K1322" s="126"/>
      <c r="L1322" s="83" t="s">
        <v>737</v>
      </c>
      <c r="M1322" s="126"/>
      <c r="N1322" s="106" t="s">
        <v>96</v>
      </c>
      <c r="O1322" s="172"/>
      <c r="P1322" s="106" t="s">
        <v>3250</v>
      </c>
      <c r="Q1322" s="126"/>
      <c r="R1322" s="83" t="s">
        <v>77</v>
      </c>
      <c r="S1322" s="126"/>
      <c r="T1322" s="124" t="s">
        <v>3251</v>
      </c>
      <c r="U1322" s="166"/>
      <c r="V1322" s="83" t="s">
        <v>79</v>
      </c>
      <c r="W1322" s="166"/>
      <c r="X1322" s="83" t="s">
        <v>80</v>
      </c>
      <c r="Y1322" s="168"/>
      <c r="Z1322" s="119" t="s">
        <v>79</v>
      </c>
      <c r="AA1322" s="168"/>
      <c r="AB1322" s="83" t="s">
        <v>80</v>
      </c>
      <c r="AC1322" s="166"/>
      <c r="AD1322" s="106" t="s">
        <v>3252</v>
      </c>
    </row>
    <row r="1323" spans="1:30" s="171" customFormat="1" ht="51">
      <c r="A1323" s="126"/>
      <c r="B1323" s="106" t="s">
        <v>3370</v>
      </c>
      <c r="C1323" s="172"/>
      <c r="D1323" s="106" t="s">
        <v>702</v>
      </c>
      <c r="E1323" s="126"/>
      <c r="F1323" s="83" t="s">
        <v>370</v>
      </c>
      <c r="G1323" s="126"/>
      <c r="H1323" s="83" t="s">
        <v>654</v>
      </c>
      <c r="I1323" s="126"/>
      <c r="J1323" s="83" t="s">
        <v>659</v>
      </c>
      <c r="K1323" s="126"/>
      <c r="L1323" s="83" t="s">
        <v>737</v>
      </c>
      <c r="M1323" s="126"/>
      <c r="N1323" s="106" t="s">
        <v>96</v>
      </c>
      <c r="O1323" s="172"/>
      <c r="P1323" s="106" t="s">
        <v>3250</v>
      </c>
      <c r="Q1323" s="126"/>
      <c r="R1323" s="83" t="s">
        <v>77</v>
      </c>
      <c r="S1323" s="126"/>
      <c r="T1323" s="124" t="s">
        <v>3251</v>
      </c>
      <c r="U1323" s="166"/>
      <c r="V1323" s="83" t="s">
        <v>79</v>
      </c>
      <c r="W1323" s="166"/>
      <c r="X1323" s="83" t="s">
        <v>80</v>
      </c>
      <c r="Y1323" s="168"/>
      <c r="Z1323" s="119" t="s">
        <v>79</v>
      </c>
      <c r="AA1323" s="168"/>
      <c r="AB1323" s="83" t="s">
        <v>80</v>
      </c>
      <c r="AC1323" s="166"/>
      <c r="AD1323" s="106" t="s">
        <v>3252</v>
      </c>
    </row>
    <row r="1324" spans="1:30" s="171" customFormat="1" ht="51">
      <c r="A1324" s="126"/>
      <c r="B1324" s="106" t="s">
        <v>3371</v>
      </c>
      <c r="C1324" s="172"/>
      <c r="D1324" s="106" t="s">
        <v>3372</v>
      </c>
      <c r="E1324" s="126"/>
      <c r="F1324" s="83" t="s">
        <v>254</v>
      </c>
      <c r="G1324" s="126"/>
      <c r="H1324" s="83" t="s">
        <v>654</v>
      </c>
      <c r="I1324" s="126"/>
      <c r="J1324" s="83" t="s">
        <v>659</v>
      </c>
      <c r="K1324" s="126"/>
      <c r="L1324" s="83" t="s">
        <v>737</v>
      </c>
      <c r="M1324" s="126"/>
      <c r="N1324" s="106" t="s">
        <v>96</v>
      </c>
      <c r="O1324" s="172"/>
      <c r="P1324" s="106" t="s">
        <v>3250</v>
      </c>
      <c r="Q1324" s="126"/>
      <c r="R1324" s="83" t="s">
        <v>77</v>
      </c>
      <c r="S1324" s="126"/>
      <c r="T1324" s="124" t="s">
        <v>3251</v>
      </c>
      <c r="U1324" s="166"/>
      <c r="V1324" s="83" t="s">
        <v>79</v>
      </c>
      <c r="W1324" s="166"/>
      <c r="X1324" s="83" t="s">
        <v>80</v>
      </c>
      <c r="Y1324" s="168"/>
      <c r="Z1324" s="119" t="s">
        <v>79</v>
      </c>
      <c r="AA1324" s="168"/>
      <c r="AB1324" s="83" t="s">
        <v>80</v>
      </c>
      <c r="AC1324" s="166"/>
      <c r="AD1324" s="106" t="s">
        <v>3252</v>
      </c>
    </row>
    <row r="1325" spans="1:30" s="171" customFormat="1" ht="51">
      <c r="A1325" s="126"/>
      <c r="B1325" s="106" t="s">
        <v>3373</v>
      </c>
      <c r="C1325" s="172"/>
      <c r="D1325" s="106" t="s">
        <v>3255</v>
      </c>
      <c r="E1325" s="126"/>
      <c r="F1325" s="83" t="s">
        <v>254</v>
      </c>
      <c r="G1325" s="126"/>
      <c r="H1325" s="83" t="s">
        <v>654</v>
      </c>
      <c r="I1325" s="126"/>
      <c r="J1325" s="83" t="s">
        <v>3374</v>
      </c>
      <c r="K1325" s="126"/>
      <c r="L1325" s="83" t="s">
        <v>737</v>
      </c>
      <c r="M1325" s="126"/>
      <c r="N1325" s="106" t="s">
        <v>96</v>
      </c>
      <c r="O1325" s="172"/>
      <c r="P1325" s="106" t="s">
        <v>3250</v>
      </c>
      <c r="Q1325" s="126"/>
      <c r="R1325" s="83" t="s">
        <v>77</v>
      </c>
      <c r="S1325" s="126"/>
      <c r="T1325" s="124" t="s">
        <v>3251</v>
      </c>
      <c r="U1325" s="166"/>
      <c r="V1325" s="83" t="s">
        <v>79</v>
      </c>
      <c r="W1325" s="166"/>
      <c r="X1325" s="83" t="s">
        <v>80</v>
      </c>
      <c r="Y1325" s="168"/>
      <c r="Z1325" s="119" t="s">
        <v>79</v>
      </c>
      <c r="AA1325" s="168"/>
      <c r="AB1325" s="83" t="s">
        <v>80</v>
      </c>
      <c r="AC1325" s="166"/>
      <c r="AD1325" s="106" t="s">
        <v>3252</v>
      </c>
    </row>
    <row r="1326" spans="1:30" s="171" customFormat="1" ht="51">
      <c r="A1326" s="126"/>
      <c r="B1326" s="106" t="s">
        <v>3375</v>
      </c>
      <c r="C1326" s="172"/>
      <c r="D1326" s="106" t="s">
        <v>3275</v>
      </c>
      <c r="E1326" s="126"/>
      <c r="F1326" s="83" t="s">
        <v>254</v>
      </c>
      <c r="G1326" s="126"/>
      <c r="H1326" s="83" t="s">
        <v>654</v>
      </c>
      <c r="I1326" s="126"/>
      <c r="J1326" s="83" t="s">
        <v>587</v>
      </c>
      <c r="K1326" s="126"/>
      <c r="L1326" s="83" t="s">
        <v>737</v>
      </c>
      <c r="M1326" s="126"/>
      <c r="N1326" s="106" t="s">
        <v>96</v>
      </c>
      <c r="O1326" s="172"/>
      <c r="P1326" s="106" t="s">
        <v>3250</v>
      </c>
      <c r="Q1326" s="126"/>
      <c r="R1326" s="83" t="s">
        <v>77</v>
      </c>
      <c r="S1326" s="126"/>
      <c r="T1326" s="124" t="s">
        <v>3251</v>
      </c>
      <c r="U1326" s="166"/>
      <c r="V1326" s="83" t="s">
        <v>79</v>
      </c>
      <c r="W1326" s="166"/>
      <c r="X1326" s="83" t="s">
        <v>80</v>
      </c>
      <c r="Y1326" s="168"/>
      <c r="Z1326" s="119" t="s">
        <v>79</v>
      </c>
      <c r="AA1326" s="168"/>
      <c r="AB1326" s="83" t="s">
        <v>80</v>
      </c>
      <c r="AC1326" s="166"/>
      <c r="AD1326" s="106" t="s">
        <v>3252</v>
      </c>
    </row>
    <row r="1327" spans="1:30" s="171" customFormat="1" ht="51">
      <c r="A1327" s="126"/>
      <c r="B1327" s="106" t="s">
        <v>3376</v>
      </c>
      <c r="C1327" s="172"/>
      <c r="D1327" s="106" t="s">
        <v>1434</v>
      </c>
      <c r="E1327" s="126"/>
      <c r="F1327" s="83" t="s">
        <v>254</v>
      </c>
      <c r="G1327" s="126"/>
      <c r="H1327" s="83" t="s">
        <v>654</v>
      </c>
      <c r="I1327" s="126"/>
      <c r="J1327" s="83" t="s">
        <v>587</v>
      </c>
      <c r="K1327" s="126"/>
      <c r="L1327" s="83" t="s">
        <v>737</v>
      </c>
      <c r="M1327" s="126"/>
      <c r="N1327" s="106" t="s">
        <v>96</v>
      </c>
      <c r="O1327" s="172"/>
      <c r="P1327" s="106" t="s">
        <v>3250</v>
      </c>
      <c r="Q1327" s="126"/>
      <c r="R1327" s="83" t="s">
        <v>77</v>
      </c>
      <c r="S1327" s="126"/>
      <c r="T1327" s="124" t="s">
        <v>3251</v>
      </c>
      <c r="U1327" s="166"/>
      <c r="V1327" s="83" t="s">
        <v>79</v>
      </c>
      <c r="W1327" s="166"/>
      <c r="X1327" s="83" t="s">
        <v>80</v>
      </c>
      <c r="Y1327" s="168"/>
      <c r="Z1327" s="119" t="s">
        <v>79</v>
      </c>
      <c r="AA1327" s="168"/>
      <c r="AB1327" s="83" t="s">
        <v>80</v>
      </c>
      <c r="AC1327" s="166"/>
      <c r="AD1327" s="106" t="s">
        <v>3252</v>
      </c>
    </row>
    <row r="1328" spans="1:30" s="171" customFormat="1" ht="51">
      <c r="A1328" s="126"/>
      <c r="B1328" s="106" t="s">
        <v>3377</v>
      </c>
      <c r="C1328" s="172"/>
      <c r="D1328" s="106" t="s">
        <v>3315</v>
      </c>
      <c r="E1328" s="126"/>
      <c r="F1328" s="83" t="s">
        <v>254</v>
      </c>
      <c r="G1328" s="126"/>
      <c r="H1328" s="83" t="s">
        <v>654</v>
      </c>
      <c r="I1328" s="126"/>
      <c r="J1328" s="83" t="s">
        <v>694</v>
      </c>
      <c r="K1328" s="126"/>
      <c r="L1328" s="83" t="s">
        <v>737</v>
      </c>
      <c r="M1328" s="126"/>
      <c r="N1328" s="106" t="s">
        <v>96</v>
      </c>
      <c r="O1328" s="172"/>
      <c r="P1328" s="106" t="s">
        <v>3250</v>
      </c>
      <c r="Q1328" s="126"/>
      <c r="R1328" s="83" t="s">
        <v>77</v>
      </c>
      <c r="S1328" s="126"/>
      <c r="T1328" s="124" t="s">
        <v>3251</v>
      </c>
      <c r="U1328" s="166"/>
      <c r="V1328" s="83" t="s">
        <v>79</v>
      </c>
      <c r="W1328" s="166"/>
      <c r="X1328" s="83" t="s">
        <v>80</v>
      </c>
      <c r="Y1328" s="168"/>
      <c r="Z1328" s="119" t="s">
        <v>79</v>
      </c>
      <c r="AA1328" s="168"/>
      <c r="AB1328" s="83" t="s">
        <v>80</v>
      </c>
      <c r="AC1328" s="166"/>
      <c r="AD1328" s="106" t="s">
        <v>3252</v>
      </c>
    </row>
    <row r="1329" spans="1:31" s="171" customFormat="1" ht="51">
      <c r="A1329" s="126"/>
      <c r="B1329" s="106" t="s">
        <v>3378</v>
      </c>
      <c r="C1329" s="172"/>
      <c r="D1329" s="106" t="s">
        <v>71</v>
      </c>
      <c r="E1329" s="126"/>
      <c r="F1329" s="83" t="s">
        <v>71</v>
      </c>
      <c r="G1329" s="126"/>
      <c r="H1329" s="83" t="s">
        <v>654</v>
      </c>
      <c r="I1329" s="126"/>
      <c r="J1329" s="83" t="s">
        <v>694</v>
      </c>
      <c r="K1329" s="126"/>
      <c r="L1329" s="83" t="s">
        <v>737</v>
      </c>
      <c r="M1329" s="126"/>
      <c r="N1329" s="106" t="s">
        <v>96</v>
      </c>
      <c r="O1329" s="172"/>
      <c r="P1329" s="106" t="s">
        <v>3250</v>
      </c>
      <c r="Q1329" s="126"/>
      <c r="R1329" s="83" t="s">
        <v>77</v>
      </c>
      <c r="S1329" s="126"/>
      <c r="T1329" s="124" t="s">
        <v>3251</v>
      </c>
      <c r="U1329" s="166"/>
      <c r="V1329" s="83" t="s">
        <v>79</v>
      </c>
      <c r="W1329" s="166"/>
      <c r="X1329" s="83" t="s">
        <v>80</v>
      </c>
      <c r="Y1329" s="168"/>
      <c r="Z1329" s="119" t="s">
        <v>79</v>
      </c>
      <c r="AA1329" s="168"/>
      <c r="AB1329" s="83" t="s">
        <v>80</v>
      </c>
      <c r="AC1329" s="166"/>
      <c r="AD1329" s="106" t="s">
        <v>3252</v>
      </c>
    </row>
    <row r="1330" spans="1:31" s="171" customFormat="1" ht="51">
      <c r="A1330" s="126"/>
      <c r="B1330" s="106" t="s">
        <v>3379</v>
      </c>
      <c r="C1330" s="172"/>
      <c r="D1330" s="106" t="s">
        <v>1515</v>
      </c>
      <c r="E1330" s="126"/>
      <c r="F1330" s="83" t="s">
        <v>254</v>
      </c>
      <c r="G1330" s="126"/>
      <c r="H1330" s="83" t="s">
        <v>654</v>
      </c>
      <c r="I1330" s="126"/>
      <c r="J1330" s="83" t="s">
        <v>694</v>
      </c>
      <c r="K1330" s="126"/>
      <c r="L1330" s="83" t="s">
        <v>737</v>
      </c>
      <c r="M1330" s="126"/>
      <c r="N1330" s="106" t="s">
        <v>96</v>
      </c>
      <c r="O1330" s="172"/>
      <c r="P1330" s="106" t="s">
        <v>3250</v>
      </c>
      <c r="Q1330" s="126"/>
      <c r="R1330" s="83" t="s">
        <v>77</v>
      </c>
      <c r="S1330" s="126"/>
      <c r="T1330" s="124" t="s">
        <v>3251</v>
      </c>
      <c r="U1330" s="166"/>
      <c r="V1330" s="83" t="s">
        <v>79</v>
      </c>
      <c r="W1330" s="166"/>
      <c r="X1330" s="83" t="s">
        <v>80</v>
      </c>
      <c r="Y1330" s="168"/>
      <c r="Z1330" s="119" t="s">
        <v>79</v>
      </c>
      <c r="AA1330" s="168"/>
      <c r="AB1330" s="83" t="s">
        <v>80</v>
      </c>
      <c r="AC1330" s="166"/>
      <c r="AD1330" s="106" t="s">
        <v>3252</v>
      </c>
    </row>
    <row r="1331" spans="1:31" s="171" customFormat="1" ht="51">
      <c r="A1331" s="126"/>
      <c r="B1331" s="106" t="s">
        <v>3380</v>
      </c>
      <c r="C1331" s="172"/>
      <c r="D1331" s="106" t="s">
        <v>1515</v>
      </c>
      <c r="E1331" s="126"/>
      <c r="F1331" s="83" t="s">
        <v>254</v>
      </c>
      <c r="G1331" s="126"/>
      <c r="H1331" s="83" t="s">
        <v>654</v>
      </c>
      <c r="I1331" s="126"/>
      <c r="J1331" s="83" t="s">
        <v>694</v>
      </c>
      <c r="K1331" s="126"/>
      <c r="L1331" s="83" t="s">
        <v>737</v>
      </c>
      <c r="M1331" s="126"/>
      <c r="N1331" s="106" t="s">
        <v>96</v>
      </c>
      <c r="O1331" s="172"/>
      <c r="P1331" s="106" t="s">
        <v>3250</v>
      </c>
      <c r="Q1331" s="126"/>
      <c r="R1331" s="83" t="s">
        <v>77</v>
      </c>
      <c r="S1331" s="126"/>
      <c r="T1331" s="124" t="s">
        <v>3251</v>
      </c>
      <c r="U1331" s="166"/>
      <c r="V1331" s="83" t="s">
        <v>79</v>
      </c>
      <c r="W1331" s="166"/>
      <c r="X1331" s="83" t="s">
        <v>80</v>
      </c>
      <c r="Y1331" s="168"/>
      <c r="Z1331" s="119" t="s">
        <v>79</v>
      </c>
      <c r="AA1331" s="168"/>
      <c r="AB1331" s="83" t="s">
        <v>80</v>
      </c>
      <c r="AC1331" s="166"/>
      <c r="AD1331" s="106" t="s">
        <v>3252</v>
      </c>
    </row>
    <row r="1332" spans="1:31" s="171" customFormat="1" ht="51">
      <c r="A1332" s="126"/>
      <c r="B1332" s="106" t="s">
        <v>3381</v>
      </c>
      <c r="C1332" s="172"/>
      <c r="D1332" s="106" t="s">
        <v>370</v>
      </c>
      <c r="E1332" s="126"/>
      <c r="F1332" s="83" t="s">
        <v>370</v>
      </c>
      <c r="G1332" s="126"/>
      <c r="H1332" s="83" t="s">
        <v>654</v>
      </c>
      <c r="I1332" s="126"/>
      <c r="J1332" s="83" t="s">
        <v>605</v>
      </c>
      <c r="K1332" s="126"/>
      <c r="L1332" s="83" t="s">
        <v>737</v>
      </c>
      <c r="M1332" s="126"/>
      <c r="N1332" s="106" t="s">
        <v>96</v>
      </c>
      <c r="O1332" s="172"/>
      <c r="P1332" s="106" t="s">
        <v>3250</v>
      </c>
      <c r="Q1332" s="126"/>
      <c r="R1332" s="83" t="s">
        <v>77</v>
      </c>
      <c r="S1332" s="126"/>
      <c r="T1332" s="124" t="s">
        <v>3251</v>
      </c>
      <c r="U1332" s="166"/>
      <c r="V1332" s="83" t="s">
        <v>79</v>
      </c>
      <c r="W1332" s="166"/>
      <c r="X1332" s="83" t="s">
        <v>80</v>
      </c>
      <c r="Y1332" s="168"/>
      <c r="Z1332" s="119" t="s">
        <v>79</v>
      </c>
      <c r="AA1332" s="168"/>
      <c r="AB1332" s="83" t="s">
        <v>80</v>
      </c>
      <c r="AC1332" s="166"/>
      <c r="AD1332" s="106" t="s">
        <v>3252</v>
      </c>
    </row>
    <row r="1333" spans="1:31" s="171" customFormat="1" ht="51">
      <c r="A1333" s="126"/>
      <c r="B1333" s="106" t="s">
        <v>3382</v>
      </c>
      <c r="C1333" s="172"/>
      <c r="D1333" s="106" t="s">
        <v>3277</v>
      </c>
      <c r="E1333" s="126"/>
      <c r="F1333" s="83" t="s">
        <v>254</v>
      </c>
      <c r="G1333" s="126"/>
      <c r="H1333" s="83" t="s">
        <v>654</v>
      </c>
      <c r="I1333" s="126"/>
      <c r="J1333" s="83" t="s">
        <v>605</v>
      </c>
      <c r="K1333" s="126"/>
      <c r="L1333" s="83" t="s">
        <v>737</v>
      </c>
      <c r="M1333" s="126"/>
      <c r="N1333" s="106" t="s">
        <v>96</v>
      </c>
      <c r="O1333" s="172"/>
      <c r="P1333" s="106" t="s">
        <v>3250</v>
      </c>
      <c r="Q1333" s="126"/>
      <c r="R1333" s="83" t="s">
        <v>77</v>
      </c>
      <c r="S1333" s="126"/>
      <c r="T1333" s="124" t="s">
        <v>3251</v>
      </c>
      <c r="U1333" s="166"/>
      <c r="V1333" s="83" t="s">
        <v>79</v>
      </c>
      <c r="W1333" s="166"/>
      <c r="X1333" s="83" t="s">
        <v>80</v>
      </c>
      <c r="Y1333" s="168"/>
      <c r="Z1333" s="119" t="s">
        <v>79</v>
      </c>
      <c r="AA1333" s="168"/>
      <c r="AB1333" s="83" t="s">
        <v>80</v>
      </c>
      <c r="AC1333" s="166"/>
      <c r="AD1333" s="106" t="s">
        <v>3252</v>
      </c>
    </row>
    <row r="1334" spans="1:31" s="171" customFormat="1" ht="51">
      <c r="A1334" s="126"/>
      <c r="B1334" s="106" t="s">
        <v>3383</v>
      </c>
      <c r="C1334" s="172"/>
      <c r="D1334" s="106" t="s">
        <v>3287</v>
      </c>
      <c r="E1334" s="126"/>
      <c r="F1334" s="83" t="s">
        <v>254</v>
      </c>
      <c r="G1334" s="126"/>
      <c r="H1334" s="83" t="s">
        <v>654</v>
      </c>
      <c r="I1334" s="126"/>
      <c r="J1334" s="83" t="s">
        <v>605</v>
      </c>
      <c r="K1334" s="126"/>
      <c r="L1334" s="83" t="s">
        <v>737</v>
      </c>
      <c r="M1334" s="126"/>
      <c r="N1334" s="106" t="s">
        <v>96</v>
      </c>
      <c r="O1334" s="172"/>
      <c r="P1334" s="106" t="s">
        <v>3250</v>
      </c>
      <c r="Q1334" s="126"/>
      <c r="R1334" s="83" t="s">
        <v>77</v>
      </c>
      <c r="S1334" s="126"/>
      <c r="T1334" s="124" t="s">
        <v>3251</v>
      </c>
      <c r="U1334" s="166"/>
      <c r="V1334" s="83" t="s">
        <v>79</v>
      </c>
      <c r="W1334" s="166"/>
      <c r="X1334" s="83" t="s">
        <v>80</v>
      </c>
      <c r="Y1334" s="168"/>
      <c r="Z1334" s="119" t="s">
        <v>79</v>
      </c>
      <c r="AA1334" s="168"/>
      <c r="AB1334" s="83" t="s">
        <v>80</v>
      </c>
      <c r="AC1334" s="166"/>
      <c r="AD1334" s="106" t="s">
        <v>3252</v>
      </c>
    </row>
    <row r="1335" spans="1:31" s="171" customFormat="1" ht="51">
      <c r="A1335" s="126"/>
      <c r="B1335" s="106" t="s">
        <v>3384</v>
      </c>
      <c r="C1335" s="172"/>
      <c r="D1335" s="106" t="s">
        <v>362</v>
      </c>
      <c r="E1335" s="126"/>
      <c r="F1335" s="23" t="s">
        <v>363</v>
      </c>
      <c r="G1335" s="126"/>
      <c r="H1335" s="83" t="s">
        <v>654</v>
      </c>
      <c r="I1335" s="126"/>
      <c r="J1335" s="83" t="s">
        <v>605</v>
      </c>
      <c r="K1335" s="126"/>
      <c r="L1335" s="83" t="s">
        <v>737</v>
      </c>
      <c r="M1335" s="126"/>
      <c r="N1335" s="106" t="s">
        <v>96</v>
      </c>
      <c r="O1335" s="172"/>
      <c r="P1335" s="106" t="s">
        <v>3250</v>
      </c>
      <c r="Q1335" s="126"/>
      <c r="R1335" s="83" t="s">
        <v>77</v>
      </c>
      <c r="S1335" s="126"/>
      <c r="T1335" s="124" t="s">
        <v>3251</v>
      </c>
      <c r="U1335" s="166"/>
      <c r="V1335" s="83" t="s">
        <v>79</v>
      </c>
      <c r="W1335" s="166"/>
      <c r="X1335" s="83" t="s">
        <v>80</v>
      </c>
      <c r="Y1335" s="168"/>
      <c r="Z1335" s="119" t="s">
        <v>79</v>
      </c>
      <c r="AA1335" s="168"/>
      <c r="AB1335" s="83" t="s">
        <v>80</v>
      </c>
      <c r="AC1335" s="166"/>
      <c r="AD1335" s="106" t="s">
        <v>3252</v>
      </c>
    </row>
    <row r="1336" spans="1:31" s="171" customFormat="1" ht="51">
      <c r="A1336" s="126"/>
      <c r="B1336" s="106" t="s">
        <v>3385</v>
      </c>
      <c r="C1336" s="172"/>
      <c r="D1336" s="106" t="s">
        <v>362</v>
      </c>
      <c r="E1336" s="126"/>
      <c r="F1336" s="23" t="s">
        <v>363</v>
      </c>
      <c r="G1336" s="126"/>
      <c r="H1336" s="83" t="s">
        <v>654</v>
      </c>
      <c r="I1336" s="126"/>
      <c r="J1336" s="83" t="s">
        <v>605</v>
      </c>
      <c r="K1336" s="126"/>
      <c r="L1336" s="83" t="s">
        <v>737</v>
      </c>
      <c r="M1336" s="126"/>
      <c r="N1336" s="106" t="s">
        <v>96</v>
      </c>
      <c r="O1336" s="172"/>
      <c r="P1336" s="106" t="s">
        <v>3250</v>
      </c>
      <c r="Q1336" s="126"/>
      <c r="R1336" s="83" t="s">
        <v>77</v>
      </c>
      <c r="S1336" s="126"/>
      <c r="T1336" s="124" t="s">
        <v>3251</v>
      </c>
      <c r="U1336" s="166"/>
      <c r="V1336" s="83" t="s">
        <v>79</v>
      </c>
      <c r="W1336" s="166"/>
      <c r="X1336" s="83" t="s">
        <v>80</v>
      </c>
      <c r="Y1336" s="168"/>
      <c r="Z1336" s="119" t="s">
        <v>79</v>
      </c>
      <c r="AA1336" s="168"/>
      <c r="AB1336" s="83" t="s">
        <v>80</v>
      </c>
      <c r="AC1336" s="166"/>
      <c r="AD1336" s="106" t="s">
        <v>3252</v>
      </c>
    </row>
    <row r="1337" spans="1:31" s="177" customFormat="1" ht="51">
      <c r="A1337" s="138"/>
      <c r="B1337" s="146" t="s">
        <v>3386</v>
      </c>
      <c r="C1337" s="173"/>
      <c r="D1337" s="146" t="s">
        <v>3275</v>
      </c>
      <c r="E1337" s="138"/>
      <c r="F1337" s="148" t="s">
        <v>254</v>
      </c>
      <c r="G1337" s="138"/>
      <c r="H1337" s="148" t="s">
        <v>654</v>
      </c>
      <c r="I1337" s="138"/>
      <c r="J1337" s="148" t="s">
        <v>605</v>
      </c>
      <c r="K1337" s="138"/>
      <c r="L1337" s="148" t="s">
        <v>737</v>
      </c>
      <c r="M1337" s="138"/>
      <c r="N1337" s="146" t="s">
        <v>96</v>
      </c>
      <c r="O1337" s="173"/>
      <c r="P1337" s="146" t="s">
        <v>3250</v>
      </c>
      <c r="Q1337" s="138"/>
      <c r="R1337" s="148" t="s">
        <v>77</v>
      </c>
      <c r="S1337" s="138"/>
      <c r="T1337" s="174" t="s">
        <v>3251</v>
      </c>
      <c r="U1337" s="175"/>
      <c r="V1337" s="83" t="s">
        <v>79</v>
      </c>
      <c r="W1337" s="166"/>
      <c r="X1337" s="83" t="s">
        <v>80</v>
      </c>
      <c r="Y1337" s="176"/>
      <c r="Z1337" s="119" t="s">
        <v>79</v>
      </c>
      <c r="AA1337" s="168"/>
      <c r="AB1337" s="83" t="s">
        <v>80</v>
      </c>
      <c r="AC1337" s="175"/>
      <c r="AD1337" s="106" t="s">
        <v>3252</v>
      </c>
      <c r="AE1337" s="171"/>
    </row>
    <row r="1338" spans="1:31" s="171" customFormat="1" ht="51">
      <c r="A1338" s="126"/>
      <c r="B1338" s="106" t="s">
        <v>3387</v>
      </c>
      <c r="C1338" s="178"/>
      <c r="D1338" s="106" t="s">
        <v>3285</v>
      </c>
      <c r="E1338" s="126"/>
      <c r="F1338" s="83" t="s">
        <v>254</v>
      </c>
      <c r="G1338" s="126"/>
      <c r="H1338" s="83" t="s">
        <v>654</v>
      </c>
      <c r="I1338" s="126"/>
      <c r="J1338" s="83" t="s">
        <v>605</v>
      </c>
      <c r="K1338" s="126"/>
      <c r="L1338" s="83" t="s">
        <v>737</v>
      </c>
      <c r="M1338" s="126"/>
      <c r="N1338" s="106" t="s">
        <v>96</v>
      </c>
      <c r="O1338" s="172"/>
      <c r="P1338" s="106" t="s">
        <v>3250</v>
      </c>
      <c r="Q1338" s="126"/>
      <c r="R1338" s="83" t="s">
        <v>77</v>
      </c>
      <c r="S1338" s="126"/>
      <c r="T1338" s="124" t="s">
        <v>3251</v>
      </c>
      <c r="U1338" s="166"/>
      <c r="V1338" s="83" t="s">
        <v>79</v>
      </c>
      <c r="W1338" s="166"/>
      <c r="X1338" s="83" t="s">
        <v>80</v>
      </c>
      <c r="Y1338" s="168"/>
      <c r="Z1338" s="119" t="s">
        <v>79</v>
      </c>
      <c r="AA1338" s="168"/>
      <c r="AB1338" s="83" t="s">
        <v>80</v>
      </c>
      <c r="AC1338" s="166"/>
      <c r="AD1338" s="106" t="s">
        <v>3252</v>
      </c>
    </row>
    <row r="1339" spans="1:31" customFormat="1" ht="51">
      <c r="A1339" s="179"/>
      <c r="B1339" s="79" t="s">
        <v>3388</v>
      </c>
      <c r="C1339" s="180"/>
      <c r="D1339" s="79" t="s">
        <v>3389</v>
      </c>
      <c r="E1339" s="179"/>
      <c r="F1339" s="78" t="s">
        <v>254</v>
      </c>
      <c r="G1339" s="179"/>
      <c r="H1339" s="78" t="s">
        <v>654</v>
      </c>
      <c r="I1339" s="179"/>
      <c r="J1339" s="78" t="s">
        <v>605</v>
      </c>
      <c r="K1339" s="179"/>
      <c r="L1339" s="78" t="s">
        <v>737</v>
      </c>
      <c r="M1339" s="179"/>
      <c r="N1339" s="79" t="s">
        <v>96</v>
      </c>
      <c r="O1339" s="180"/>
      <c r="P1339" s="79" t="s">
        <v>3250</v>
      </c>
      <c r="Q1339" s="179"/>
      <c r="R1339" s="78" t="s">
        <v>77</v>
      </c>
      <c r="S1339" s="179"/>
      <c r="T1339" s="80" t="s">
        <v>3251</v>
      </c>
      <c r="U1339" s="181"/>
      <c r="V1339" s="83" t="s">
        <v>79</v>
      </c>
      <c r="W1339" s="166"/>
      <c r="X1339" s="83" t="s">
        <v>80</v>
      </c>
      <c r="Y1339" s="182"/>
      <c r="Z1339" s="119" t="s">
        <v>79</v>
      </c>
      <c r="AA1339" s="168"/>
      <c r="AB1339" s="83" t="s">
        <v>80</v>
      </c>
      <c r="AC1339" s="181"/>
      <c r="AD1339" s="106" t="s">
        <v>3252</v>
      </c>
      <c r="AE1339" s="177"/>
    </row>
    <row r="1340" spans="1:31" s="171" customFormat="1" ht="51">
      <c r="A1340" s="126"/>
      <c r="B1340" s="146" t="s">
        <v>3390</v>
      </c>
      <c r="C1340" s="172"/>
      <c r="D1340" s="106" t="s">
        <v>702</v>
      </c>
      <c r="E1340" s="126"/>
      <c r="F1340" s="83" t="s">
        <v>370</v>
      </c>
      <c r="G1340" s="126"/>
      <c r="H1340" s="83" t="s">
        <v>654</v>
      </c>
      <c r="I1340" s="126"/>
      <c r="J1340" s="83" t="s">
        <v>605</v>
      </c>
      <c r="K1340" s="126"/>
      <c r="L1340" s="83" t="s">
        <v>737</v>
      </c>
      <c r="M1340" s="126"/>
      <c r="N1340" s="106" t="s">
        <v>96</v>
      </c>
      <c r="O1340" s="172"/>
      <c r="P1340" s="106" t="s">
        <v>3250</v>
      </c>
      <c r="Q1340" s="126"/>
      <c r="R1340" s="83" t="s">
        <v>77</v>
      </c>
      <c r="S1340" s="126"/>
      <c r="T1340" s="124" t="s">
        <v>3251</v>
      </c>
      <c r="U1340" s="166"/>
      <c r="V1340" s="83" t="s">
        <v>79</v>
      </c>
      <c r="W1340" s="166"/>
      <c r="X1340" s="83" t="s">
        <v>80</v>
      </c>
      <c r="Y1340" s="168"/>
      <c r="Z1340" s="119" t="s">
        <v>79</v>
      </c>
      <c r="AA1340" s="168"/>
      <c r="AB1340" s="83" t="s">
        <v>80</v>
      </c>
      <c r="AC1340" s="166"/>
      <c r="AD1340" s="106" t="s">
        <v>3252</v>
      </c>
    </row>
    <row r="1341" spans="1:31" s="171" customFormat="1" ht="51">
      <c r="A1341" s="126"/>
      <c r="B1341" s="106" t="s">
        <v>3391</v>
      </c>
      <c r="C1341" s="178"/>
      <c r="D1341" s="106" t="s">
        <v>3285</v>
      </c>
      <c r="E1341" s="126"/>
      <c r="F1341" s="83" t="s">
        <v>254</v>
      </c>
      <c r="G1341" s="126"/>
      <c r="H1341" s="83" t="s">
        <v>654</v>
      </c>
      <c r="I1341" s="126"/>
      <c r="J1341" s="83" t="s">
        <v>605</v>
      </c>
      <c r="K1341" s="126"/>
      <c r="L1341" s="83" t="s">
        <v>737</v>
      </c>
      <c r="M1341" s="126"/>
      <c r="N1341" s="106" t="s">
        <v>96</v>
      </c>
      <c r="O1341" s="172"/>
      <c r="P1341" s="106" t="s">
        <v>3250</v>
      </c>
      <c r="Q1341" s="126"/>
      <c r="R1341" s="83" t="s">
        <v>77</v>
      </c>
      <c r="S1341" s="126"/>
      <c r="T1341" s="124" t="s">
        <v>3251</v>
      </c>
      <c r="U1341" s="166"/>
      <c r="V1341" s="83" t="s">
        <v>79</v>
      </c>
      <c r="W1341" s="166"/>
      <c r="X1341" s="83" t="s">
        <v>80</v>
      </c>
      <c r="Y1341" s="168"/>
      <c r="Z1341" s="119" t="s">
        <v>79</v>
      </c>
      <c r="AA1341" s="168"/>
      <c r="AB1341" s="83" t="s">
        <v>80</v>
      </c>
      <c r="AC1341" s="166"/>
      <c r="AD1341" s="106" t="s">
        <v>3252</v>
      </c>
      <c r="AE1341"/>
    </row>
    <row r="1342" spans="1:31" s="171" customFormat="1" ht="51">
      <c r="A1342" s="126"/>
      <c r="B1342" s="183" t="s">
        <v>3392</v>
      </c>
      <c r="C1342" s="172"/>
      <c r="D1342" s="106" t="s">
        <v>3393</v>
      </c>
      <c r="E1342" s="126"/>
      <c r="F1342" s="83" t="s">
        <v>254</v>
      </c>
      <c r="G1342" s="126"/>
      <c r="H1342" s="83" t="s">
        <v>654</v>
      </c>
      <c r="I1342" s="126"/>
      <c r="J1342" s="83" t="s">
        <v>605</v>
      </c>
      <c r="K1342" s="126"/>
      <c r="L1342" s="83" t="s">
        <v>737</v>
      </c>
      <c r="M1342" s="126"/>
      <c r="N1342" s="106" t="s">
        <v>96</v>
      </c>
      <c r="O1342" s="172"/>
      <c r="P1342" s="106" t="s">
        <v>3250</v>
      </c>
      <c r="Q1342" s="126"/>
      <c r="R1342" s="83" t="s">
        <v>77</v>
      </c>
      <c r="S1342" s="126"/>
      <c r="T1342" s="124" t="s">
        <v>3251</v>
      </c>
      <c r="U1342" s="166"/>
      <c r="V1342" s="83" t="s">
        <v>79</v>
      </c>
      <c r="W1342" s="166"/>
      <c r="X1342" s="83" t="s">
        <v>80</v>
      </c>
      <c r="Y1342" s="168"/>
      <c r="Z1342" s="119" t="s">
        <v>79</v>
      </c>
      <c r="AA1342" s="168"/>
      <c r="AB1342" s="83" t="s">
        <v>80</v>
      </c>
      <c r="AC1342" s="166"/>
      <c r="AD1342" s="106" t="s">
        <v>3252</v>
      </c>
    </row>
    <row r="1343" spans="1:31" s="171" customFormat="1" ht="51">
      <c r="A1343" s="126"/>
      <c r="B1343" s="106" t="s">
        <v>3394</v>
      </c>
      <c r="C1343" s="172"/>
      <c r="D1343" s="106" t="s">
        <v>362</v>
      </c>
      <c r="E1343" s="126"/>
      <c r="F1343" s="23" t="s">
        <v>363</v>
      </c>
      <c r="G1343" s="126"/>
      <c r="H1343" s="83" t="s">
        <v>654</v>
      </c>
      <c r="I1343" s="126"/>
      <c r="J1343" s="83" t="s">
        <v>605</v>
      </c>
      <c r="K1343" s="126"/>
      <c r="L1343" s="83" t="s">
        <v>737</v>
      </c>
      <c r="M1343" s="126"/>
      <c r="N1343" s="106" t="s">
        <v>96</v>
      </c>
      <c r="O1343" s="172"/>
      <c r="P1343" s="106" t="s">
        <v>3250</v>
      </c>
      <c r="Q1343" s="126"/>
      <c r="R1343" s="83" t="s">
        <v>77</v>
      </c>
      <c r="S1343" s="126"/>
      <c r="T1343" s="124" t="s">
        <v>3251</v>
      </c>
      <c r="U1343" s="166"/>
      <c r="V1343" s="83" t="s">
        <v>79</v>
      </c>
      <c r="W1343" s="166"/>
      <c r="X1343" s="83" t="s">
        <v>80</v>
      </c>
      <c r="Y1343" s="168"/>
      <c r="Z1343" s="119" t="s">
        <v>79</v>
      </c>
      <c r="AA1343" s="168"/>
      <c r="AB1343" s="83" t="s">
        <v>80</v>
      </c>
      <c r="AC1343" s="166"/>
      <c r="AD1343" s="106" t="s">
        <v>3252</v>
      </c>
    </row>
    <row r="1344" spans="1:31" s="171" customFormat="1" ht="51">
      <c r="A1344" s="126"/>
      <c r="B1344" s="106" t="s">
        <v>3395</v>
      </c>
      <c r="C1344" s="172"/>
      <c r="D1344" s="106" t="s">
        <v>3271</v>
      </c>
      <c r="E1344" s="126"/>
      <c r="F1344" s="83" t="s">
        <v>254</v>
      </c>
      <c r="G1344" s="126"/>
      <c r="H1344" s="83" t="s">
        <v>654</v>
      </c>
      <c r="I1344" s="126"/>
      <c r="J1344" s="83" t="s">
        <v>605</v>
      </c>
      <c r="K1344" s="126"/>
      <c r="L1344" s="83" t="s">
        <v>737</v>
      </c>
      <c r="M1344" s="126"/>
      <c r="N1344" s="106" t="s">
        <v>96</v>
      </c>
      <c r="O1344" s="172"/>
      <c r="P1344" s="106" t="s">
        <v>3250</v>
      </c>
      <c r="Q1344" s="126"/>
      <c r="R1344" s="83" t="s">
        <v>77</v>
      </c>
      <c r="S1344" s="126"/>
      <c r="T1344" s="124" t="s">
        <v>3251</v>
      </c>
      <c r="U1344" s="166"/>
      <c r="V1344" s="83" t="s">
        <v>79</v>
      </c>
      <c r="W1344" s="166"/>
      <c r="X1344" s="83" t="s">
        <v>80</v>
      </c>
      <c r="Y1344" s="168"/>
      <c r="Z1344" s="119" t="s">
        <v>79</v>
      </c>
      <c r="AA1344" s="168"/>
      <c r="AB1344" s="83" t="s">
        <v>80</v>
      </c>
      <c r="AC1344" s="166"/>
      <c r="AD1344" s="106" t="s">
        <v>3252</v>
      </c>
    </row>
    <row r="1345" spans="1:31" s="171" customFormat="1" ht="51">
      <c r="A1345" s="126"/>
      <c r="B1345" s="106" t="s">
        <v>3396</v>
      </c>
      <c r="C1345" s="172"/>
      <c r="D1345" s="106" t="s">
        <v>362</v>
      </c>
      <c r="E1345" s="126"/>
      <c r="F1345" s="23" t="s">
        <v>363</v>
      </c>
      <c r="G1345" s="126"/>
      <c r="H1345" s="83" t="s">
        <v>654</v>
      </c>
      <c r="I1345" s="126"/>
      <c r="J1345" s="83" t="s">
        <v>605</v>
      </c>
      <c r="K1345" s="126"/>
      <c r="L1345" s="83" t="s">
        <v>737</v>
      </c>
      <c r="M1345" s="126"/>
      <c r="N1345" s="106" t="s">
        <v>96</v>
      </c>
      <c r="O1345" s="172"/>
      <c r="P1345" s="106" t="s">
        <v>3250</v>
      </c>
      <c r="Q1345" s="126"/>
      <c r="R1345" s="83" t="s">
        <v>77</v>
      </c>
      <c r="S1345" s="126"/>
      <c r="T1345" s="124" t="s">
        <v>3251</v>
      </c>
      <c r="U1345" s="166"/>
      <c r="V1345" s="83" t="s">
        <v>79</v>
      </c>
      <c r="W1345" s="166"/>
      <c r="X1345" s="83" t="s">
        <v>80</v>
      </c>
      <c r="Y1345" s="168"/>
      <c r="Z1345" s="119" t="s">
        <v>79</v>
      </c>
      <c r="AA1345" s="168"/>
      <c r="AB1345" s="83" t="s">
        <v>80</v>
      </c>
      <c r="AC1345" s="166"/>
      <c r="AD1345" s="106" t="s">
        <v>3252</v>
      </c>
    </row>
    <row r="1346" spans="1:31" s="177" customFormat="1" ht="51">
      <c r="A1346" s="138"/>
      <c r="B1346" s="146" t="s">
        <v>3397</v>
      </c>
      <c r="C1346" s="173"/>
      <c r="D1346" s="146" t="s">
        <v>362</v>
      </c>
      <c r="E1346" s="138"/>
      <c r="F1346" s="23" t="s">
        <v>363</v>
      </c>
      <c r="G1346" s="138"/>
      <c r="H1346" s="148" t="s">
        <v>654</v>
      </c>
      <c r="I1346" s="138"/>
      <c r="J1346" s="148" t="s">
        <v>605</v>
      </c>
      <c r="K1346" s="138"/>
      <c r="L1346" s="148" t="s">
        <v>737</v>
      </c>
      <c r="M1346" s="138"/>
      <c r="N1346" s="146" t="s">
        <v>96</v>
      </c>
      <c r="O1346" s="173"/>
      <c r="P1346" s="146" t="s">
        <v>3250</v>
      </c>
      <c r="Q1346" s="138"/>
      <c r="R1346" s="148" t="s">
        <v>77</v>
      </c>
      <c r="S1346" s="138"/>
      <c r="T1346" s="174" t="s">
        <v>3251</v>
      </c>
      <c r="U1346" s="175"/>
      <c r="V1346" s="83" t="s">
        <v>79</v>
      </c>
      <c r="W1346" s="166"/>
      <c r="X1346" s="83" t="s">
        <v>80</v>
      </c>
      <c r="Y1346" s="176"/>
      <c r="Z1346" s="119" t="s">
        <v>79</v>
      </c>
      <c r="AA1346" s="168"/>
      <c r="AB1346" s="83" t="s">
        <v>80</v>
      </c>
      <c r="AC1346" s="175"/>
      <c r="AD1346" s="106" t="s">
        <v>3252</v>
      </c>
      <c r="AE1346" s="171"/>
    </row>
    <row r="1347" spans="1:31" s="171" customFormat="1" ht="51">
      <c r="A1347" s="126"/>
      <c r="B1347" s="106" t="s">
        <v>3398</v>
      </c>
      <c r="C1347" s="172"/>
      <c r="D1347" s="106" t="s">
        <v>362</v>
      </c>
      <c r="E1347" s="126"/>
      <c r="F1347" s="23" t="s">
        <v>363</v>
      </c>
      <c r="G1347" s="126"/>
      <c r="H1347" s="83" t="s">
        <v>654</v>
      </c>
      <c r="I1347" s="126"/>
      <c r="J1347" s="83" t="s">
        <v>605</v>
      </c>
      <c r="K1347" s="126"/>
      <c r="L1347" s="83" t="s">
        <v>737</v>
      </c>
      <c r="M1347" s="126"/>
      <c r="N1347" s="106" t="s">
        <v>96</v>
      </c>
      <c r="O1347" s="172"/>
      <c r="P1347" s="106" t="s">
        <v>3250</v>
      </c>
      <c r="Q1347" s="126"/>
      <c r="R1347" s="83" t="s">
        <v>77</v>
      </c>
      <c r="S1347" s="126"/>
      <c r="T1347" s="124" t="s">
        <v>3251</v>
      </c>
      <c r="U1347" s="166"/>
      <c r="V1347" s="83" t="s">
        <v>79</v>
      </c>
      <c r="W1347" s="166"/>
      <c r="X1347" s="83" t="s">
        <v>80</v>
      </c>
      <c r="Y1347" s="168"/>
      <c r="Z1347" s="119" t="s">
        <v>79</v>
      </c>
      <c r="AA1347" s="168"/>
      <c r="AB1347" s="83" t="s">
        <v>80</v>
      </c>
      <c r="AC1347" s="166"/>
      <c r="AD1347" s="106" t="s">
        <v>3252</v>
      </c>
    </row>
    <row r="1348" spans="1:31" s="171" customFormat="1" ht="51">
      <c r="A1348" s="126"/>
      <c r="B1348" s="106" t="s">
        <v>3399</v>
      </c>
      <c r="C1348" s="172"/>
      <c r="D1348" s="106" t="s">
        <v>3315</v>
      </c>
      <c r="E1348" s="126"/>
      <c r="F1348" s="83" t="s">
        <v>254</v>
      </c>
      <c r="G1348" s="126"/>
      <c r="H1348" s="83" t="s">
        <v>654</v>
      </c>
      <c r="I1348" s="126"/>
      <c r="J1348" s="83" t="s">
        <v>605</v>
      </c>
      <c r="K1348" s="126"/>
      <c r="L1348" s="83" t="s">
        <v>737</v>
      </c>
      <c r="M1348" s="126"/>
      <c r="N1348" s="106" t="s">
        <v>96</v>
      </c>
      <c r="O1348" s="172"/>
      <c r="P1348" s="106" t="s">
        <v>3250</v>
      </c>
      <c r="Q1348" s="126"/>
      <c r="R1348" s="83" t="s">
        <v>77</v>
      </c>
      <c r="S1348" s="126"/>
      <c r="T1348" s="124" t="s">
        <v>3251</v>
      </c>
      <c r="U1348" s="166"/>
      <c r="V1348" s="83" t="s">
        <v>79</v>
      </c>
      <c r="W1348" s="166"/>
      <c r="X1348" s="83" t="s">
        <v>80</v>
      </c>
      <c r="Y1348" s="168"/>
      <c r="Z1348" s="119" t="s">
        <v>79</v>
      </c>
      <c r="AA1348" s="168"/>
      <c r="AB1348" s="83" t="s">
        <v>80</v>
      </c>
      <c r="AC1348" s="166"/>
      <c r="AD1348" s="106" t="s">
        <v>3252</v>
      </c>
      <c r="AE1348" s="177"/>
    </row>
    <row r="1349" spans="1:31" s="171" customFormat="1" ht="51">
      <c r="A1349" s="126"/>
      <c r="B1349" s="106" t="s">
        <v>3400</v>
      </c>
      <c r="C1349" s="172"/>
      <c r="D1349" s="106" t="s">
        <v>362</v>
      </c>
      <c r="E1349" s="126"/>
      <c r="F1349" s="23" t="s">
        <v>363</v>
      </c>
      <c r="G1349" s="126"/>
      <c r="H1349" s="83" t="s">
        <v>654</v>
      </c>
      <c r="I1349" s="126"/>
      <c r="J1349" s="83" t="s">
        <v>605</v>
      </c>
      <c r="K1349" s="126"/>
      <c r="L1349" s="83" t="s">
        <v>737</v>
      </c>
      <c r="M1349" s="126"/>
      <c r="N1349" s="106" t="s">
        <v>96</v>
      </c>
      <c r="O1349" s="172"/>
      <c r="P1349" s="106" t="s">
        <v>3250</v>
      </c>
      <c r="Q1349" s="126"/>
      <c r="R1349" s="83" t="s">
        <v>77</v>
      </c>
      <c r="S1349" s="126"/>
      <c r="T1349" s="124" t="s">
        <v>3251</v>
      </c>
      <c r="U1349" s="166"/>
      <c r="V1349" s="83" t="s">
        <v>79</v>
      </c>
      <c r="W1349" s="166"/>
      <c r="X1349" s="83" t="s">
        <v>80</v>
      </c>
      <c r="Y1349" s="168"/>
      <c r="Z1349" s="119" t="s">
        <v>79</v>
      </c>
      <c r="AA1349" s="168"/>
      <c r="AB1349" s="83" t="s">
        <v>80</v>
      </c>
      <c r="AC1349" s="166"/>
      <c r="AD1349" s="106" t="s">
        <v>3252</v>
      </c>
    </row>
    <row r="1350" spans="1:31" s="171" customFormat="1" ht="51">
      <c r="A1350" s="126"/>
      <c r="B1350" s="106" t="s">
        <v>3401</v>
      </c>
      <c r="C1350" s="172"/>
      <c r="D1350" s="106" t="s">
        <v>370</v>
      </c>
      <c r="E1350" s="126"/>
      <c r="F1350" s="83" t="s">
        <v>370</v>
      </c>
      <c r="G1350" s="126"/>
      <c r="H1350" s="83" t="s">
        <v>654</v>
      </c>
      <c r="I1350" s="126"/>
      <c r="J1350" s="83" t="s">
        <v>605</v>
      </c>
      <c r="K1350" s="126"/>
      <c r="L1350" s="83" t="s">
        <v>737</v>
      </c>
      <c r="M1350" s="126"/>
      <c r="N1350" s="106" t="s">
        <v>96</v>
      </c>
      <c r="O1350" s="172"/>
      <c r="P1350" s="106" t="s">
        <v>3250</v>
      </c>
      <c r="Q1350" s="126"/>
      <c r="R1350" s="83" t="s">
        <v>77</v>
      </c>
      <c r="S1350" s="126"/>
      <c r="T1350" s="124" t="s">
        <v>3251</v>
      </c>
      <c r="U1350" s="166"/>
      <c r="V1350" s="83" t="s">
        <v>79</v>
      </c>
      <c r="W1350" s="166"/>
      <c r="X1350" s="83" t="s">
        <v>80</v>
      </c>
      <c r="Y1350" s="168"/>
      <c r="Z1350" s="119" t="s">
        <v>79</v>
      </c>
      <c r="AA1350" s="168"/>
      <c r="AB1350" s="83" t="s">
        <v>80</v>
      </c>
      <c r="AC1350" s="166"/>
      <c r="AD1350" s="106" t="s">
        <v>3252</v>
      </c>
    </row>
    <row r="1351" spans="1:31" s="171" customFormat="1" ht="51">
      <c r="A1351" s="126"/>
      <c r="B1351" s="106" t="s">
        <v>3402</v>
      </c>
      <c r="C1351" s="172"/>
      <c r="D1351" s="106" t="s">
        <v>3402</v>
      </c>
      <c r="E1351" s="126"/>
      <c r="F1351" s="83" t="s">
        <v>254</v>
      </c>
      <c r="G1351" s="126"/>
      <c r="H1351" s="83" t="s">
        <v>654</v>
      </c>
      <c r="I1351" s="126"/>
      <c r="J1351" s="83" t="s">
        <v>605</v>
      </c>
      <c r="K1351" s="126"/>
      <c r="L1351" s="83" t="s">
        <v>737</v>
      </c>
      <c r="M1351" s="126"/>
      <c r="N1351" s="106" t="s">
        <v>96</v>
      </c>
      <c r="O1351" s="172"/>
      <c r="P1351" s="106" t="s">
        <v>3250</v>
      </c>
      <c r="Q1351" s="126"/>
      <c r="R1351" s="83" t="s">
        <v>77</v>
      </c>
      <c r="S1351" s="126"/>
      <c r="T1351" s="124" t="s">
        <v>3251</v>
      </c>
      <c r="U1351" s="166"/>
      <c r="V1351" s="83" t="s">
        <v>79</v>
      </c>
      <c r="W1351" s="166"/>
      <c r="X1351" s="83" t="s">
        <v>80</v>
      </c>
      <c r="Y1351" s="168"/>
      <c r="Z1351" s="119" t="s">
        <v>79</v>
      </c>
      <c r="AA1351" s="168"/>
      <c r="AB1351" s="83" t="s">
        <v>80</v>
      </c>
      <c r="AC1351" s="166"/>
      <c r="AD1351" s="106" t="s">
        <v>3252</v>
      </c>
    </row>
    <row r="1352" spans="1:31" s="171" customFormat="1" ht="51">
      <c r="A1352" s="126"/>
      <c r="B1352" s="106" t="s">
        <v>3403</v>
      </c>
      <c r="C1352" s="172"/>
      <c r="D1352" s="106" t="s">
        <v>363</v>
      </c>
      <c r="E1352" s="126"/>
      <c r="F1352" s="23" t="s">
        <v>363</v>
      </c>
      <c r="G1352" s="126"/>
      <c r="H1352" s="83" t="s">
        <v>654</v>
      </c>
      <c r="I1352" s="126"/>
      <c r="J1352" s="83" t="s">
        <v>605</v>
      </c>
      <c r="K1352" s="126"/>
      <c r="L1352" s="83" t="s">
        <v>737</v>
      </c>
      <c r="M1352" s="126"/>
      <c r="N1352" s="106" t="s">
        <v>96</v>
      </c>
      <c r="O1352" s="172"/>
      <c r="P1352" s="106" t="s">
        <v>3250</v>
      </c>
      <c r="Q1352" s="126"/>
      <c r="R1352" s="83" t="s">
        <v>77</v>
      </c>
      <c r="S1352" s="126"/>
      <c r="T1352" s="124" t="s">
        <v>3251</v>
      </c>
      <c r="U1352" s="166"/>
      <c r="V1352" s="83" t="s">
        <v>79</v>
      </c>
      <c r="W1352" s="166"/>
      <c r="X1352" s="83" t="s">
        <v>80</v>
      </c>
      <c r="Y1352" s="168"/>
      <c r="Z1352" s="119" t="s">
        <v>79</v>
      </c>
      <c r="AA1352" s="168"/>
      <c r="AB1352" s="83" t="s">
        <v>80</v>
      </c>
      <c r="AC1352" s="166"/>
      <c r="AD1352" s="106" t="s">
        <v>3252</v>
      </c>
    </row>
    <row r="1353" spans="1:31" s="171" customFormat="1" ht="51">
      <c r="A1353" s="126"/>
      <c r="B1353" s="106" t="s">
        <v>3404</v>
      </c>
      <c r="C1353" s="172"/>
      <c r="D1353" s="106" t="s">
        <v>3255</v>
      </c>
      <c r="E1353" s="126"/>
      <c r="F1353" s="83" t="s">
        <v>254</v>
      </c>
      <c r="G1353" s="126"/>
      <c r="H1353" s="83" t="s">
        <v>654</v>
      </c>
      <c r="I1353" s="126"/>
      <c r="J1353" s="83" t="s">
        <v>605</v>
      </c>
      <c r="K1353" s="126"/>
      <c r="L1353" s="83" t="s">
        <v>737</v>
      </c>
      <c r="M1353" s="126"/>
      <c r="N1353" s="106" t="s">
        <v>96</v>
      </c>
      <c r="O1353" s="172"/>
      <c r="P1353" s="106" t="s">
        <v>3250</v>
      </c>
      <c r="Q1353" s="126"/>
      <c r="R1353" s="83" t="s">
        <v>77</v>
      </c>
      <c r="S1353" s="126"/>
      <c r="T1353" s="124" t="s">
        <v>3251</v>
      </c>
      <c r="U1353" s="166"/>
      <c r="V1353" s="83" t="s">
        <v>79</v>
      </c>
      <c r="W1353" s="166"/>
      <c r="X1353" s="83" t="s">
        <v>80</v>
      </c>
      <c r="Y1353" s="168"/>
      <c r="Z1353" s="119" t="s">
        <v>79</v>
      </c>
      <c r="AA1353" s="168"/>
      <c r="AB1353" s="83" t="s">
        <v>80</v>
      </c>
      <c r="AC1353" s="166"/>
      <c r="AD1353" s="106" t="s">
        <v>3252</v>
      </c>
    </row>
    <row r="1354" spans="1:31" s="171" customFormat="1" ht="51">
      <c r="A1354" s="126"/>
      <c r="B1354" s="106" t="s">
        <v>3405</v>
      </c>
      <c r="C1354" s="172"/>
      <c r="D1354" s="106" t="s">
        <v>363</v>
      </c>
      <c r="E1354" s="126"/>
      <c r="F1354" s="23" t="s">
        <v>363</v>
      </c>
      <c r="G1354" s="126"/>
      <c r="H1354" s="83" t="s">
        <v>654</v>
      </c>
      <c r="I1354" s="126"/>
      <c r="J1354" s="83" t="s">
        <v>605</v>
      </c>
      <c r="K1354" s="126"/>
      <c r="L1354" s="83" t="s">
        <v>737</v>
      </c>
      <c r="M1354" s="126"/>
      <c r="N1354" s="106" t="s">
        <v>96</v>
      </c>
      <c r="O1354" s="172"/>
      <c r="P1354" s="106" t="s">
        <v>3250</v>
      </c>
      <c r="Q1354" s="126"/>
      <c r="R1354" s="83" t="s">
        <v>77</v>
      </c>
      <c r="S1354" s="126"/>
      <c r="T1354" s="124" t="s">
        <v>3251</v>
      </c>
      <c r="U1354" s="166"/>
      <c r="V1354" s="83" t="s">
        <v>79</v>
      </c>
      <c r="W1354" s="166"/>
      <c r="X1354" s="83" t="s">
        <v>80</v>
      </c>
      <c r="Y1354" s="168"/>
      <c r="Z1354" s="119" t="s">
        <v>79</v>
      </c>
      <c r="AA1354" s="168"/>
      <c r="AB1354" s="83" t="s">
        <v>80</v>
      </c>
      <c r="AC1354" s="166"/>
      <c r="AD1354" s="106" t="s">
        <v>3252</v>
      </c>
    </row>
    <row r="1355" spans="1:31" s="171" customFormat="1" ht="51">
      <c r="A1355" s="126"/>
      <c r="B1355" s="106" t="s">
        <v>3406</v>
      </c>
      <c r="C1355" s="172"/>
      <c r="D1355" s="106" t="s">
        <v>362</v>
      </c>
      <c r="E1355" s="126"/>
      <c r="F1355" s="23" t="s">
        <v>363</v>
      </c>
      <c r="G1355" s="126"/>
      <c r="H1355" s="83" t="s">
        <v>654</v>
      </c>
      <c r="I1355" s="126"/>
      <c r="J1355" s="83" t="s">
        <v>605</v>
      </c>
      <c r="K1355" s="126"/>
      <c r="L1355" s="83" t="s">
        <v>737</v>
      </c>
      <c r="M1355" s="126"/>
      <c r="N1355" s="106" t="s">
        <v>96</v>
      </c>
      <c r="O1355" s="172"/>
      <c r="P1355" s="106" t="s">
        <v>3250</v>
      </c>
      <c r="Q1355" s="126"/>
      <c r="R1355" s="83" t="s">
        <v>77</v>
      </c>
      <c r="S1355" s="126"/>
      <c r="T1355" s="124" t="s">
        <v>3251</v>
      </c>
      <c r="U1355" s="166"/>
      <c r="V1355" s="83" t="s">
        <v>79</v>
      </c>
      <c r="W1355" s="166"/>
      <c r="X1355" s="83" t="s">
        <v>80</v>
      </c>
      <c r="Y1355" s="168"/>
      <c r="Z1355" s="119" t="s">
        <v>79</v>
      </c>
      <c r="AA1355" s="168"/>
      <c r="AB1355" s="83" t="s">
        <v>80</v>
      </c>
      <c r="AC1355" s="166"/>
      <c r="AD1355" s="106" t="s">
        <v>3252</v>
      </c>
    </row>
    <row r="1356" spans="1:31" s="171" customFormat="1" ht="51">
      <c r="A1356" s="126"/>
      <c r="B1356" s="106" t="s">
        <v>3407</v>
      </c>
      <c r="C1356" s="172"/>
      <c r="D1356" s="106" t="s">
        <v>362</v>
      </c>
      <c r="E1356" s="126"/>
      <c r="F1356" s="23" t="s">
        <v>363</v>
      </c>
      <c r="G1356" s="126"/>
      <c r="H1356" s="83" t="s">
        <v>654</v>
      </c>
      <c r="I1356" s="126"/>
      <c r="J1356" s="83" t="s">
        <v>605</v>
      </c>
      <c r="K1356" s="126"/>
      <c r="L1356" s="83" t="s">
        <v>737</v>
      </c>
      <c r="M1356" s="126"/>
      <c r="N1356" s="106" t="s">
        <v>96</v>
      </c>
      <c r="O1356" s="172"/>
      <c r="P1356" s="106" t="s">
        <v>3250</v>
      </c>
      <c r="Q1356" s="126"/>
      <c r="R1356" s="83" t="s">
        <v>77</v>
      </c>
      <c r="S1356" s="126"/>
      <c r="T1356" s="124" t="s">
        <v>3251</v>
      </c>
      <c r="U1356" s="166"/>
      <c r="V1356" s="83" t="s">
        <v>79</v>
      </c>
      <c r="W1356" s="166"/>
      <c r="X1356" s="83" t="s">
        <v>80</v>
      </c>
      <c r="Y1356" s="168"/>
      <c r="Z1356" s="119" t="s">
        <v>79</v>
      </c>
      <c r="AA1356" s="168"/>
      <c r="AB1356" s="83" t="s">
        <v>80</v>
      </c>
      <c r="AC1356" s="166"/>
      <c r="AD1356" s="106" t="s">
        <v>3252</v>
      </c>
    </row>
    <row r="1357" spans="1:31" s="171" customFormat="1" ht="51">
      <c r="A1357" s="126"/>
      <c r="B1357" s="106" t="s">
        <v>3408</v>
      </c>
      <c r="C1357" s="172"/>
      <c r="D1357" s="106" t="s">
        <v>702</v>
      </c>
      <c r="E1357" s="126"/>
      <c r="F1357" s="83" t="s">
        <v>370</v>
      </c>
      <c r="G1357" s="126"/>
      <c r="H1357" s="83" t="s">
        <v>654</v>
      </c>
      <c r="I1357" s="126"/>
      <c r="J1357" s="83" t="s">
        <v>605</v>
      </c>
      <c r="K1357" s="126"/>
      <c r="L1357" s="83" t="s">
        <v>737</v>
      </c>
      <c r="M1357" s="126"/>
      <c r="N1357" s="106" t="s">
        <v>96</v>
      </c>
      <c r="O1357" s="172"/>
      <c r="P1357" s="106" t="s">
        <v>3250</v>
      </c>
      <c r="Q1357" s="126"/>
      <c r="R1357" s="83" t="s">
        <v>77</v>
      </c>
      <c r="S1357" s="126"/>
      <c r="T1357" s="124" t="s">
        <v>3251</v>
      </c>
      <c r="U1357" s="166"/>
      <c r="V1357" s="83" t="s">
        <v>79</v>
      </c>
      <c r="W1357" s="166"/>
      <c r="X1357" s="83" t="s">
        <v>80</v>
      </c>
      <c r="Y1357" s="168"/>
      <c r="Z1357" s="119" t="s">
        <v>79</v>
      </c>
      <c r="AA1357" s="168"/>
      <c r="AB1357" s="83" t="s">
        <v>80</v>
      </c>
      <c r="AC1357" s="166"/>
      <c r="AD1357" s="106" t="s">
        <v>3252</v>
      </c>
    </row>
    <row r="1358" spans="1:31" s="171" customFormat="1" ht="51">
      <c r="A1358" s="126"/>
      <c r="B1358" s="106" t="s">
        <v>3409</v>
      </c>
      <c r="C1358" s="172"/>
      <c r="D1358" s="106" t="s">
        <v>3287</v>
      </c>
      <c r="E1358" s="126"/>
      <c r="F1358" s="83" t="s">
        <v>254</v>
      </c>
      <c r="G1358" s="126"/>
      <c r="H1358" s="83" t="s">
        <v>654</v>
      </c>
      <c r="I1358" s="126"/>
      <c r="J1358" s="83" t="s">
        <v>605</v>
      </c>
      <c r="K1358" s="126"/>
      <c r="L1358" s="83" t="s">
        <v>737</v>
      </c>
      <c r="M1358" s="126"/>
      <c r="N1358" s="106" t="s">
        <v>96</v>
      </c>
      <c r="O1358" s="172"/>
      <c r="P1358" s="106" t="s">
        <v>3250</v>
      </c>
      <c r="Q1358" s="126"/>
      <c r="R1358" s="83" t="s">
        <v>77</v>
      </c>
      <c r="S1358" s="126"/>
      <c r="T1358" s="124" t="s">
        <v>3251</v>
      </c>
      <c r="U1358" s="166"/>
      <c r="V1358" s="83" t="s">
        <v>79</v>
      </c>
      <c r="W1358" s="166"/>
      <c r="X1358" s="83" t="s">
        <v>80</v>
      </c>
      <c r="Y1358" s="168"/>
      <c r="Z1358" s="119" t="s">
        <v>79</v>
      </c>
      <c r="AA1358" s="168"/>
      <c r="AB1358" s="83" t="s">
        <v>80</v>
      </c>
      <c r="AC1358" s="166"/>
      <c r="AD1358" s="106" t="s">
        <v>3252</v>
      </c>
    </row>
    <row r="1359" spans="1:31" s="171" customFormat="1" ht="51">
      <c r="A1359" s="126"/>
      <c r="B1359" s="106" t="s">
        <v>3410</v>
      </c>
      <c r="C1359" s="172"/>
      <c r="D1359" s="106" t="s">
        <v>3294</v>
      </c>
      <c r="E1359" s="126"/>
      <c r="F1359" s="83" t="s">
        <v>254</v>
      </c>
      <c r="G1359" s="126"/>
      <c r="H1359" s="83" t="s">
        <v>654</v>
      </c>
      <c r="I1359" s="126"/>
      <c r="J1359" s="83" t="s">
        <v>3411</v>
      </c>
      <c r="K1359" s="126"/>
      <c r="L1359" s="83" t="s">
        <v>737</v>
      </c>
      <c r="M1359" s="126"/>
      <c r="N1359" s="106" t="s">
        <v>96</v>
      </c>
      <c r="O1359" s="172"/>
      <c r="P1359" s="106" t="s">
        <v>3250</v>
      </c>
      <c r="Q1359" s="126"/>
      <c r="R1359" s="83" t="s">
        <v>77</v>
      </c>
      <c r="S1359" s="126"/>
      <c r="T1359" s="124" t="s">
        <v>3251</v>
      </c>
      <c r="U1359" s="166"/>
      <c r="V1359" s="83" t="s">
        <v>79</v>
      </c>
      <c r="W1359" s="166"/>
      <c r="X1359" s="83" t="s">
        <v>80</v>
      </c>
      <c r="Y1359" s="168"/>
      <c r="Z1359" s="119" t="s">
        <v>79</v>
      </c>
      <c r="AA1359" s="168"/>
      <c r="AB1359" s="83" t="s">
        <v>80</v>
      </c>
      <c r="AC1359" s="166"/>
      <c r="AD1359" s="106" t="s">
        <v>3252</v>
      </c>
    </row>
    <row r="1360" spans="1:31" s="171" customFormat="1" ht="51">
      <c r="A1360" s="126"/>
      <c r="B1360" s="106" t="s">
        <v>3412</v>
      </c>
      <c r="C1360" s="172"/>
      <c r="D1360" s="106" t="s">
        <v>3413</v>
      </c>
      <c r="E1360" s="126"/>
      <c r="F1360" s="83" t="s">
        <v>254</v>
      </c>
      <c r="G1360" s="126"/>
      <c r="H1360" s="83" t="s">
        <v>654</v>
      </c>
      <c r="I1360" s="126"/>
      <c r="J1360" s="83" t="s">
        <v>3411</v>
      </c>
      <c r="K1360" s="126"/>
      <c r="L1360" s="83" t="s">
        <v>737</v>
      </c>
      <c r="M1360" s="126"/>
      <c r="N1360" s="106" t="s">
        <v>96</v>
      </c>
      <c r="O1360" s="172"/>
      <c r="P1360" s="106" t="s">
        <v>3250</v>
      </c>
      <c r="Q1360" s="126"/>
      <c r="R1360" s="83" t="s">
        <v>77</v>
      </c>
      <c r="S1360" s="126"/>
      <c r="T1360" s="124" t="s">
        <v>3251</v>
      </c>
      <c r="U1360" s="166"/>
      <c r="V1360" s="83" t="s">
        <v>79</v>
      </c>
      <c r="W1360" s="166"/>
      <c r="X1360" s="83" t="s">
        <v>80</v>
      </c>
      <c r="Y1360" s="168"/>
      <c r="Z1360" s="119" t="s">
        <v>79</v>
      </c>
      <c r="AA1360" s="168"/>
      <c r="AB1360" s="83" t="s">
        <v>80</v>
      </c>
      <c r="AC1360" s="166"/>
      <c r="AD1360" s="106" t="s">
        <v>3252</v>
      </c>
    </row>
    <row r="1361" spans="1:30" s="171" customFormat="1" ht="51">
      <c r="A1361" s="126"/>
      <c r="B1361" s="106" t="s">
        <v>3414</v>
      </c>
      <c r="C1361" s="172"/>
      <c r="D1361" s="106" t="s">
        <v>3271</v>
      </c>
      <c r="E1361" s="126"/>
      <c r="F1361" s="83" t="s">
        <v>254</v>
      </c>
      <c r="G1361" s="126"/>
      <c r="H1361" s="83" t="s">
        <v>654</v>
      </c>
      <c r="I1361" s="126"/>
      <c r="J1361" s="83" t="s">
        <v>3411</v>
      </c>
      <c r="K1361" s="126"/>
      <c r="L1361" s="83" t="s">
        <v>737</v>
      </c>
      <c r="M1361" s="126"/>
      <c r="N1361" s="106" t="s">
        <v>96</v>
      </c>
      <c r="O1361" s="172"/>
      <c r="P1361" s="106" t="s">
        <v>3250</v>
      </c>
      <c r="Q1361" s="126"/>
      <c r="R1361" s="83" t="s">
        <v>77</v>
      </c>
      <c r="S1361" s="126"/>
      <c r="T1361" s="124" t="s">
        <v>3251</v>
      </c>
      <c r="U1361" s="166"/>
      <c r="V1361" s="83" t="s">
        <v>79</v>
      </c>
      <c r="W1361" s="166"/>
      <c r="X1361" s="83" t="s">
        <v>80</v>
      </c>
      <c r="Y1361" s="168"/>
      <c r="Z1361" s="119" t="s">
        <v>79</v>
      </c>
      <c r="AA1361" s="168"/>
      <c r="AB1361" s="83" t="s">
        <v>80</v>
      </c>
      <c r="AC1361" s="166"/>
      <c r="AD1361" s="106" t="s">
        <v>3252</v>
      </c>
    </row>
    <row r="1362" spans="1:30" s="171" customFormat="1" ht="51">
      <c r="A1362" s="126"/>
      <c r="B1362" s="106" t="s">
        <v>3415</v>
      </c>
      <c r="C1362" s="172"/>
      <c r="D1362" s="106" t="s">
        <v>2875</v>
      </c>
      <c r="E1362" s="126"/>
      <c r="F1362" s="83" t="s">
        <v>123</v>
      </c>
      <c r="G1362" s="126"/>
      <c r="H1362" s="83" t="s">
        <v>654</v>
      </c>
      <c r="I1362" s="126"/>
      <c r="J1362" s="83" t="s">
        <v>3411</v>
      </c>
      <c r="K1362" s="126"/>
      <c r="L1362" s="83" t="s">
        <v>737</v>
      </c>
      <c r="M1362" s="126"/>
      <c r="N1362" s="106" t="s">
        <v>96</v>
      </c>
      <c r="O1362" s="172"/>
      <c r="P1362" s="106" t="s">
        <v>3250</v>
      </c>
      <c r="Q1362" s="126"/>
      <c r="R1362" s="83" t="s">
        <v>77</v>
      </c>
      <c r="S1362" s="126"/>
      <c r="T1362" s="124" t="s">
        <v>3251</v>
      </c>
      <c r="U1362" s="166"/>
      <c r="V1362" s="83" t="s">
        <v>79</v>
      </c>
      <c r="W1362" s="166"/>
      <c r="X1362" s="83" t="s">
        <v>80</v>
      </c>
      <c r="Y1362" s="168"/>
      <c r="Z1362" s="119" t="s">
        <v>79</v>
      </c>
      <c r="AA1362" s="168"/>
      <c r="AB1362" s="83" t="s">
        <v>80</v>
      </c>
      <c r="AC1362" s="166"/>
      <c r="AD1362" s="106" t="s">
        <v>3252</v>
      </c>
    </row>
    <row r="1363" spans="1:30" s="171" customFormat="1" ht="51">
      <c r="A1363" s="126"/>
      <c r="B1363" s="106" t="s">
        <v>3416</v>
      </c>
      <c r="C1363" s="172"/>
      <c r="D1363" s="106" t="s">
        <v>370</v>
      </c>
      <c r="E1363" s="126"/>
      <c r="F1363" s="83" t="s">
        <v>370</v>
      </c>
      <c r="G1363" s="126"/>
      <c r="H1363" s="83" t="s">
        <v>654</v>
      </c>
      <c r="I1363" s="126"/>
      <c r="J1363" s="83" t="s">
        <v>3411</v>
      </c>
      <c r="K1363" s="126"/>
      <c r="L1363" s="83" t="s">
        <v>737</v>
      </c>
      <c r="M1363" s="126"/>
      <c r="N1363" s="106" t="s">
        <v>96</v>
      </c>
      <c r="O1363" s="172"/>
      <c r="P1363" s="106" t="s">
        <v>3250</v>
      </c>
      <c r="Q1363" s="126"/>
      <c r="R1363" s="83" t="s">
        <v>77</v>
      </c>
      <c r="S1363" s="126"/>
      <c r="T1363" s="124" t="s">
        <v>3251</v>
      </c>
      <c r="U1363" s="166"/>
      <c r="V1363" s="83" t="s">
        <v>79</v>
      </c>
      <c r="W1363" s="166"/>
      <c r="X1363" s="83" t="s">
        <v>80</v>
      </c>
      <c r="Y1363" s="168"/>
      <c r="Z1363" s="119" t="s">
        <v>79</v>
      </c>
      <c r="AA1363" s="168"/>
      <c r="AB1363" s="83" t="s">
        <v>80</v>
      </c>
      <c r="AC1363" s="166"/>
      <c r="AD1363" s="106" t="s">
        <v>3252</v>
      </c>
    </row>
    <row r="1364" spans="1:30" s="171" customFormat="1" ht="51">
      <c r="A1364" s="126"/>
      <c r="B1364" s="106" t="s">
        <v>3417</v>
      </c>
      <c r="C1364" s="172"/>
      <c r="D1364" s="106" t="s">
        <v>3285</v>
      </c>
      <c r="E1364" s="126"/>
      <c r="F1364" s="83" t="s">
        <v>254</v>
      </c>
      <c r="G1364" s="126"/>
      <c r="H1364" s="83" t="s">
        <v>654</v>
      </c>
      <c r="I1364" s="126"/>
      <c r="J1364" s="83" t="s">
        <v>3411</v>
      </c>
      <c r="K1364" s="126"/>
      <c r="L1364" s="83" t="s">
        <v>737</v>
      </c>
      <c r="M1364" s="126"/>
      <c r="N1364" s="106" t="s">
        <v>96</v>
      </c>
      <c r="O1364" s="172"/>
      <c r="P1364" s="106" t="s">
        <v>3250</v>
      </c>
      <c r="Q1364" s="126"/>
      <c r="R1364" s="83" t="s">
        <v>77</v>
      </c>
      <c r="S1364" s="126"/>
      <c r="T1364" s="124" t="s">
        <v>3251</v>
      </c>
      <c r="U1364" s="166"/>
      <c r="V1364" s="83" t="s">
        <v>79</v>
      </c>
      <c r="W1364" s="166"/>
      <c r="X1364" s="83" t="s">
        <v>80</v>
      </c>
      <c r="Y1364" s="168"/>
      <c r="Z1364" s="119" t="s">
        <v>79</v>
      </c>
      <c r="AA1364" s="168"/>
      <c r="AB1364" s="83" t="s">
        <v>80</v>
      </c>
      <c r="AC1364" s="166"/>
      <c r="AD1364" s="106" t="s">
        <v>3252</v>
      </c>
    </row>
    <row r="1365" spans="1:30" s="171" customFormat="1" ht="51">
      <c r="A1365" s="126"/>
      <c r="B1365" s="106" t="s">
        <v>3418</v>
      </c>
      <c r="C1365" s="172"/>
      <c r="D1365" s="106" t="s">
        <v>1515</v>
      </c>
      <c r="E1365" s="126"/>
      <c r="F1365" s="83" t="s">
        <v>254</v>
      </c>
      <c r="G1365" s="126"/>
      <c r="H1365" s="83" t="s">
        <v>654</v>
      </c>
      <c r="I1365" s="126"/>
      <c r="J1365" s="83" t="s">
        <v>3411</v>
      </c>
      <c r="K1365" s="126"/>
      <c r="L1365" s="83" t="s">
        <v>737</v>
      </c>
      <c r="M1365" s="126"/>
      <c r="N1365" s="106" t="s">
        <v>96</v>
      </c>
      <c r="O1365" s="172"/>
      <c r="P1365" s="106" t="s">
        <v>3250</v>
      </c>
      <c r="Q1365" s="126"/>
      <c r="R1365" s="83" t="s">
        <v>77</v>
      </c>
      <c r="S1365" s="126"/>
      <c r="T1365" s="124" t="s">
        <v>3251</v>
      </c>
      <c r="U1365" s="166"/>
      <c r="V1365" s="83" t="s">
        <v>79</v>
      </c>
      <c r="W1365" s="166"/>
      <c r="X1365" s="83" t="s">
        <v>80</v>
      </c>
      <c r="Y1365" s="168"/>
      <c r="Z1365" s="119" t="s">
        <v>79</v>
      </c>
      <c r="AA1365" s="168"/>
      <c r="AB1365" s="83" t="s">
        <v>80</v>
      </c>
      <c r="AC1365" s="166"/>
      <c r="AD1365" s="106" t="s">
        <v>3252</v>
      </c>
    </row>
    <row r="1366" spans="1:30" s="171" customFormat="1" ht="51">
      <c r="A1366" s="126"/>
      <c r="B1366" s="106" t="s">
        <v>3419</v>
      </c>
      <c r="C1366" s="172"/>
      <c r="D1366" s="106" t="s">
        <v>3420</v>
      </c>
      <c r="E1366" s="126"/>
      <c r="F1366" s="83" t="s">
        <v>254</v>
      </c>
      <c r="G1366" s="126"/>
      <c r="H1366" s="83" t="s">
        <v>654</v>
      </c>
      <c r="I1366" s="126"/>
      <c r="J1366" s="83" t="s">
        <v>3411</v>
      </c>
      <c r="K1366" s="126"/>
      <c r="L1366" s="83" t="s">
        <v>737</v>
      </c>
      <c r="M1366" s="126"/>
      <c r="N1366" s="106" t="s">
        <v>96</v>
      </c>
      <c r="O1366" s="172"/>
      <c r="P1366" s="106" t="s">
        <v>3250</v>
      </c>
      <c r="Q1366" s="126"/>
      <c r="R1366" s="83" t="s">
        <v>77</v>
      </c>
      <c r="S1366" s="126"/>
      <c r="T1366" s="124" t="s">
        <v>3251</v>
      </c>
      <c r="U1366" s="166"/>
      <c r="V1366" s="83" t="s">
        <v>79</v>
      </c>
      <c r="W1366" s="166"/>
      <c r="X1366" s="83" t="s">
        <v>80</v>
      </c>
      <c r="Y1366" s="168"/>
      <c r="Z1366" s="119" t="s">
        <v>79</v>
      </c>
      <c r="AA1366" s="168"/>
      <c r="AB1366" s="83" t="s">
        <v>80</v>
      </c>
      <c r="AC1366" s="166"/>
      <c r="AD1366" s="106" t="s">
        <v>3252</v>
      </c>
    </row>
    <row r="1367" spans="1:30" s="171" customFormat="1" ht="51">
      <c r="A1367" s="126"/>
      <c r="B1367" s="106" t="s">
        <v>3421</v>
      </c>
      <c r="C1367" s="172"/>
      <c r="D1367" s="106" t="s">
        <v>3362</v>
      </c>
      <c r="E1367" s="126"/>
      <c r="F1367" s="83" t="s">
        <v>254</v>
      </c>
      <c r="G1367" s="126"/>
      <c r="H1367" s="83" t="s">
        <v>654</v>
      </c>
      <c r="I1367" s="126"/>
      <c r="J1367" s="83" t="s">
        <v>3411</v>
      </c>
      <c r="K1367" s="126"/>
      <c r="L1367" s="83" t="s">
        <v>737</v>
      </c>
      <c r="M1367" s="126"/>
      <c r="N1367" s="106" t="s">
        <v>96</v>
      </c>
      <c r="O1367" s="172"/>
      <c r="P1367" s="106" t="s">
        <v>3250</v>
      </c>
      <c r="Q1367" s="126"/>
      <c r="R1367" s="83" t="s">
        <v>77</v>
      </c>
      <c r="S1367" s="126"/>
      <c r="T1367" s="124" t="s">
        <v>3251</v>
      </c>
      <c r="U1367" s="166"/>
      <c r="V1367" s="83" t="s">
        <v>79</v>
      </c>
      <c r="W1367" s="166"/>
      <c r="X1367" s="83" t="s">
        <v>80</v>
      </c>
      <c r="Y1367" s="168"/>
      <c r="Z1367" s="119" t="s">
        <v>79</v>
      </c>
      <c r="AA1367" s="168"/>
      <c r="AB1367" s="83" t="s">
        <v>80</v>
      </c>
      <c r="AC1367" s="166"/>
      <c r="AD1367" s="106" t="s">
        <v>3252</v>
      </c>
    </row>
    <row r="1368" spans="1:30" s="171" customFormat="1" ht="51">
      <c r="A1368" s="126"/>
      <c r="B1368" s="106" t="s">
        <v>3422</v>
      </c>
      <c r="C1368" s="172"/>
      <c r="D1368" s="106" t="s">
        <v>3287</v>
      </c>
      <c r="E1368" s="126"/>
      <c r="F1368" s="83" t="s">
        <v>254</v>
      </c>
      <c r="G1368" s="126"/>
      <c r="H1368" s="83" t="s">
        <v>654</v>
      </c>
      <c r="I1368" s="126"/>
      <c r="J1368" s="83" t="s">
        <v>3411</v>
      </c>
      <c r="K1368" s="126"/>
      <c r="L1368" s="83" t="s">
        <v>737</v>
      </c>
      <c r="M1368" s="126"/>
      <c r="N1368" s="106" t="s">
        <v>96</v>
      </c>
      <c r="O1368" s="172"/>
      <c r="P1368" s="106" t="s">
        <v>3250</v>
      </c>
      <c r="Q1368" s="126"/>
      <c r="R1368" s="83" t="s">
        <v>77</v>
      </c>
      <c r="S1368" s="126"/>
      <c r="T1368" s="124" t="s">
        <v>3251</v>
      </c>
      <c r="U1368" s="166"/>
      <c r="V1368" s="83" t="s">
        <v>79</v>
      </c>
      <c r="W1368" s="166"/>
      <c r="X1368" s="83" t="s">
        <v>80</v>
      </c>
      <c r="Y1368" s="168"/>
      <c r="Z1368" s="119" t="s">
        <v>79</v>
      </c>
      <c r="AA1368" s="168"/>
      <c r="AB1368" s="83" t="s">
        <v>80</v>
      </c>
      <c r="AC1368" s="166"/>
      <c r="AD1368" s="106" t="s">
        <v>3252</v>
      </c>
    </row>
    <row r="1369" spans="1:30" s="171" customFormat="1" ht="51">
      <c r="A1369" s="126"/>
      <c r="B1369" s="146" t="s">
        <v>3423</v>
      </c>
      <c r="C1369" s="172"/>
      <c r="D1369" s="106" t="s">
        <v>3315</v>
      </c>
      <c r="E1369" s="126"/>
      <c r="F1369" s="83" t="s">
        <v>254</v>
      </c>
      <c r="G1369" s="126"/>
      <c r="H1369" s="83" t="s">
        <v>654</v>
      </c>
      <c r="I1369" s="126"/>
      <c r="J1369" s="83" t="s">
        <v>3411</v>
      </c>
      <c r="K1369" s="126"/>
      <c r="L1369" s="83" t="s">
        <v>737</v>
      </c>
      <c r="M1369" s="126"/>
      <c r="N1369" s="106" t="s">
        <v>96</v>
      </c>
      <c r="O1369" s="172"/>
      <c r="P1369" s="106" t="s">
        <v>3250</v>
      </c>
      <c r="Q1369" s="126"/>
      <c r="R1369" s="83" t="s">
        <v>77</v>
      </c>
      <c r="S1369" s="126"/>
      <c r="T1369" s="124" t="s">
        <v>3251</v>
      </c>
      <c r="U1369" s="166"/>
      <c r="V1369" s="83" t="s">
        <v>79</v>
      </c>
      <c r="W1369" s="166"/>
      <c r="X1369" s="83" t="s">
        <v>80</v>
      </c>
      <c r="Y1369" s="168"/>
      <c r="Z1369" s="119" t="s">
        <v>79</v>
      </c>
      <c r="AA1369" s="168"/>
      <c r="AB1369" s="83" t="s">
        <v>80</v>
      </c>
      <c r="AC1369" s="166"/>
      <c r="AD1369" s="106" t="s">
        <v>3252</v>
      </c>
    </row>
    <row r="1370" spans="1:30" s="171" customFormat="1" ht="51">
      <c r="A1370" s="126"/>
      <c r="B1370" s="106" t="s">
        <v>3424</v>
      </c>
      <c r="C1370" s="178"/>
      <c r="D1370" s="106" t="s">
        <v>3362</v>
      </c>
      <c r="E1370" s="126"/>
      <c r="F1370" s="83" t="s">
        <v>254</v>
      </c>
      <c r="G1370" s="126"/>
      <c r="H1370" s="83" t="s">
        <v>654</v>
      </c>
      <c r="I1370" s="126"/>
      <c r="J1370" s="83" t="s">
        <v>3411</v>
      </c>
      <c r="K1370" s="126"/>
      <c r="L1370" s="83" t="s">
        <v>737</v>
      </c>
      <c r="M1370" s="126"/>
      <c r="N1370" s="106" t="s">
        <v>96</v>
      </c>
      <c r="O1370" s="172"/>
      <c r="P1370" s="106" t="s">
        <v>3250</v>
      </c>
      <c r="Q1370" s="126"/>
      <c r="R1370" s="83" t="s">
        <v>77</v>
      </c>
      <c r="S1370" s="126"/>
      <c r="T1370" s="124" t="s">
        <v>3251</v>
      </c>
      <c r="U1370" s="166"/>
      <c r="V1370" s="83" t="s">
        <v>79</v>
      </c>
      <c r="W1370" s="166"/>
      <c r="X1370" s="83" t="s">
        <v>80</v>
      </c>
      <c r="Y1370" s="168"/>
      <c r="Z1370" s="119" t="s">
        <v>79</v>
      </c>
      <c r="AA1370" s="168"/>
      <c r="AB1370" s="83" t="s">
        <v>80</v>
      </c>
      <c r="AC1370" s="166"/>
      <c r="AD1370" s="106" t="s">
        <v>3252</v>
      </c>
    </row>
    <row r="1371" spans="1:30" s="171" customFormat="1" ht="51">
      <c r="A1371" s="126"/>
      <c r="B1371" s="183" t="s">
        <v>3425</v>
      </c>
      <c r="C1371" s="172"/>
      <c r="D1371" s="106" t="s">
        <v>702</v>
      </c>
      <c r="E1371" s="126"/>
      <c r="F1371" s="83" t="s">
        <v>370</v>
      </c>
      <c r="G1371" s="126"/>
      <c r="H1371" s="83" t="s">
        <v>654</v>
      </c>
      <c r="I1371" s="126"/>
      <c r="J1371" s="83" t="s">
        <v>3411</v>
      </c>
      <c r="K1371" s="126"/>
      <c r="L1371" s="83" t="s">
        <v>737</v>
      </c>
      <c r="M1371" s="126"/>
      <c r="N1371" s="106" t="s">
        <v>96</v>
      </c>
      <c r="O1371" s="172"/>
      <c r="P1371" s="106" t="s">
        <v>3250</v>
      </c>
      <c r="Q1371" s="126"/>
      <c r="R1371" s="83" t="s">
        <v>77</v>
      </c>
      <c r="S1371" s="126"/>
      <c r="T1371" s="124" t="s">
        <v>3251</v>
      </c>
      <c r="U1371" s="166"/>
      <c r="V1371" s="83" t="s">
        <v>79</v>
      </c>
      <c r="W1371" s="166"/>
      <c r="X1371" s="83" t="s">
        <v>80</v>
      </c>
      <c r="Y1371" s="168"/>
      <c r="Z1371" s="119" t="s">
        <v>79</v>
      </c>
      <c r="AA1371" s="168"/>
      <c r="AB1371" s="83" t="s">
        <v>80</v>
      </c>
      <c r="AC1371" s="166"/>
      <c r="AD1371" s="106" t="s">
        <v>3252</v>
      </c>
    </row>
    <row r="1372" spans="1:30" s="171" customFormat="1" ht="51">
      <c r="A1372" s="126"/>
      <c r="B1372" s="106" t="s">
        <v>3426</v>
      </c>
      <c r="C1372" s="172"/>
      <c r="D1372" s="106" t="s">
        <v>2875</v>
      </c>
      <c r="E1372" s="126"/>
      <c r="F1372" s="83" t="s">
        <v>123</v>
      </c>
      <c r="G1372" s="126"/>
      <c r="H1372" s="83" t="s">
        <v>654</v>
      </c>
      <c r="I1372" s="126"/>
      <c r="J1372" s="83" t="s">
        <v>3411</v>
      </c>
      <c r="K1372" s="126"/>
      <c r="L1372" s="83" t="s">
        <v>737</v>
      </c>
      <c r="M1372" s="126"/>
      <c r="N1372" s="106" t="s">
        <v>96</v>
      </c>
      <c r="O1372" s="172"/>
      <c r="P1372" s="106" t="s">
        <v>3250</v>
      </c>
      <c r="Q1372" s="126"/>
      <c r="R1372" s="83" t="s">
        <v>77</v>
      </c>
      <c r="S1372" s="126"/>
      <c r="T1372" s="124" t="s">
        <v>3251</v>
      </c>
      <c r="U1372" s="166"/>
      <c r="V1372" s="83" t="s">
        <v>79</v>
      </c>
      <c r="W1372" s="166"/>
      <c r="X1372" s="83" t="s">
        <v>80</v>
      </c>
      <c r="Y1372" s="168"/>
      <c r="Z1372" s="119" t="s">
        <v>79</v>
      </c>
      <c r="AA1372" s="168"/>
      <c r="AB1372" s="83" t="s">
        <v>80</v>
      </c>
      <c r="AC1372" s="166"/>
      <c r="AD1372" s="106" t="s">
        <v>3252</v>
      </c>
    </row>
    <row r="1373" spans="1:30" s="171" customFormat="1" ht="51">
      <c r="A1373" s="126"/>
      <c r="B1373" s="106" t="s">
        <v>3427</v>
      </c>
      <c r="C1373" s="172"/>
      <c r="D1373" s="106" t="s">
        <v>2875</v>
      </c>
      <c r="E1373" s="126"/>
      <c r="F1373" s="83" t="s">
        <v>123</v>
      </c>
      <c r="G1373" s="126"/>
      <c r="H1373" s="83" t="s">
        <v>654</v>
      </c>
      <c r="I1373" s="126"/>
      <c r="J1373" s="83" t="s">
        <v>3411</v>
      </c>
      <c r="K1373" s="126"/>
      <c r="L1373" s="83" t="s">
        <v>737</v>
      </c>
      <c r="M1373" s="126"/>
      <c r="N1373" s="106" t="s">
        <v>96</v>
      </c>
      <c r="O1373" s="172"/>
      <c r="P1373" s="106" t="s">
        <v>3250</v>
      </c>
      <c r="Q1373" s="126"/>
      <c r="R1373" s="83" t="s">
        <v>77</v>
      </c>
      <c r="S1373" s="126"/>
      <c r="T1373" s="124" t="s">
        <v>3251</v>
      </c>
      <c r="U1373" s="166"/>
      <c r="V1373" s="83" t="s">
        <v>79</v>
      </c>
      <c r="W1373" s="166"/>
      <c r="X1373" s="83" t="s">
        <v>80</v>
      </c>
      <c r="Y1373" s="168"/>
      <c r="Z1373" s="119" t="s">
        <v>79</v>
      </c>
      <c r="AA1373" s="168"/>
      <c r="AB1373" s="83" t="s">
        <v>80</v>
      </c>
      <c r="AC1373" s="166"/>
      <c r="AD1373" s="106" t="s">
        <v>3252</v>
      </c>
    </row>
    <row r="1374" spans="1:30" s="171" customFormat="1" ht="51">
      <c r="A1374" s="126"/>
      <c r="B1374" s="106" t="s">
        <v>3428</v>
      </c>
      <c r="C1374" s="172"/>
      <c r="D1374" s="106" t="s">
        <v>3429</v>
      </c>
      <c r="E1374" s="126"/>
      <c r="F1374" s="83" t="s">
        <v>254</v>
      </c>
      <c r="G1374" s="126"/>
      <c r="H1374" s="83" t="s">
        <v>654</v>
      </c>
      <c r="I1374" s="126"/>
      <c r="J1374" s="83" t="s">
        <v>3411</v>
      </c>
      <c r="K1374" s="126"/>
      <c r="L1374" s="83" t="s">
        <v>737</v>
      </c>
      <c r="M1374" s="126"/>
      <c r="N1374" s="106" t="s">
        <v>96</v>
      </c>
      <c r="O1374" s="172"/>
      <c r="P1374" s="106" t="s">
        <v>3250</v>
      </c>
      <c r="Q1374" s="126"/>
      <c r="R1374" s="83" t="s">
        <v>77</v>
      </c>
      <c r="S1374" s="126"/>
      <c r="T1374" s="124" t="s">
        <v>3251</v>
      </c>
      <c r="U1374" s="166"/>
      <c r="V1374" s="83" t="s">
        <v>79</v>
      </c>
      <c r="W1374" s="166"/>
      <c r="X1374" s="83" t="s">
        <v>80</v>
      </c>
      <c r="Y1374" s="168"/>
      <c r="Z1374" s="119" t="s">
        <v>79</v>
      </c>
      <c r="AA1374" s="168"/>
      <c r="AB1374" s="83" t="s">
        <v>80</v>
      </c>
      <c r="AC1374" s="166"/>
      <c r="AD1374" s="106" t="s">
        <v>3252</v>
      </c>
    </row>
    <row r="1375" spans="1:30" s="171" customFormat="1" ht="51">
      <c r="A1375" s="126"/>
      <c r="B1375" s="106" t="s">
        <v>3430</v>
      </c>
      <c r="C1375" s="172"/>
      <c r="D1375" s="106" t="s">
        <v>3285</v>
      </c>
      <c r="E1375" s="126"/>
      <c r="F1375" s="83" t="s">
        <v>254</v>
      </c>
      <c r="G1375" s="126"/>
      <c r="H1375" s="83" t="s">
        <v>654</v>
      </c>
      <c r="I1375" s="126"/>
      <c r="J1375" s="83" t="s">
        <v>3411</v>
      </c>
      <c r="K1375" s="126"/>
      <c r="L1375" s="83" t="s">
        <v>737</v>
      </c>
      <c r="M1375" s="126"/>
      <c r="N1375" s="106" t="s">
        <v>96</v>
      </c>
      <c r="O1375" s="172"/>
      <c r="P1375" s="106" t="s">
        <v>3250</v>
      </c>
      <c r="Q1375" s="126"/>
      <c r="R1375" s="83" t="s">
        <v>77</v>
      </c>
      <c r="S1375" s="126"/>
      <c r="T1375" s="124" t="s">
        <v>3251</v>
      </c>
      <c r="U1375" s="166"/>
      <c r="V1375" s="83" t="s">
        <v>79</v>
      </c>
      <c r="W1375" s="166"/>
      <c r="X1375" s="83" t="s">
        <v>80</v>
      </c>
      <c r="Y1375" s="168"/>
      <c r="Z1375" s="119" t="s">
        <v>79</v>
      </c>
      <c r="AA1375" s="168"/>
      <c r="AB1375" s="83" t="s">
        <v>80</v>
      </c>
      <c r="AC1375" s="166"/>
      <c r="AD1375" s="106" t="s">
        <v>3252</v>
      </c>
    </row>
    <row r="1376" spans="1:30" s="171" customFormat="1" ht="51">
      <c r="A1376" s="126"/>
      <c r="B1376" s="106" t="s">
        <v>3431</v>
      </c>
      <c r="C1376" s="172"/>
      <c r="D1376" s="106" t="s">
        <v>3255</v>
      </c>
      <c r="E1376" s="126"/>
      <c r="F1376" s="83" t="s">
        <v>254</v>
      </c>
      <c r="G1376" s="126"/>
      <c r="H1376" s="83" t="s">
        <v>654</v>
      </c>
      <c r="I1376" s="126"/>
      <c r="J1376" s="83" t="s">
        <v>3411</v>
      </c>
      <c r="K1376" s="126"/>
      <c r="L1376" s="83" t="s">
        <v>737</v>
      </c>
      <c r="M1376" s="126"/>
      <c r="N1376" s="106" t="s">
        <v>96</v>
      </c>
      <c r="O1376" s="172"/>
      <c r="P1376" s="106" t="s">
        <v>3250</v>
      </c>
      <c r="Q1376" s="126"/>
      <c r="R1376" s="83" t="s">
        <v>77</v>
      </c>
      <c r="S1376" s="126"/>
      <c r="T1376" s="124" t="s">
        <v>3251</v>
      </c>
      <c r="U1376" s="166"/>
      <c r="V1376" s="83" t="s">
        <v>79</v>
      </c>
      <c r="W1376" s="166"/>
      <c r="X1376" s="83" t="s">
        <v>80</v>
      </c>
      <c r="Y1376" s="168"/>
      <c r="Z1376" s="119" t="s">
        <v>79</v>
      </c>
      <c r="AA1376" s="168"/>
      <c r="AB1376" s="83" t="s">
        <v>80</v>
      </c>
      <c r="AC1376" s="166"/>
      <c r="AD1376" s="106" t="s">
        <v>3252</v>
      </c>
    </row>
    <row r="1377" spans="1:31" s="177" customFormat="1" ht="51">
      <c r="A1377" s="138"/>
      <c r="B1377" s="146" t="s">
        <v>3432</v>
      </c>
      <c r="C1377" s="173"/>
      <c r="D1377" s="146" t="s">
        <v>702</v>
      </c>
      <c r="E1377" s="138"/>
      <c r="F1377" s="148" t="s">
        <v>370</v>
      </c>
      <c r="G1377" s="138"/>
      <c r="H1377" s="148" t="s">
        <v>654</v>
      </c>
      <c r="I1377" s="138"/>
      <c r="J1377" s="148" t="s">
        <v>3411</v>
      </c>
      <c r="K1377" s="138"/>
      <c r="L1377" s="148" t="s">
        <v>737</v>
      </c>
      <c r="M1377" s="138"/>
      <c r="N1377" s="146" t="s">
        <v>96</v>
      </c>
      <c r="O1377" s="173"/>
      <c r="P1377" s="146" t="s">
        <v>3250</v>
      </c>
      <c r="Q1377" s="138"/>
      <c r="R1377" s="148" t="s">
        <v>77</v>
      </c>
      <c r="S1377" s="138"/>
      <c r="T1377" s="174" t="s">
        <v>3251</v>
      </c>
      <c r="U1377" s="175"/>
      <c r="V1377" s="83" t="s">
        <v>79</v>
      </c>
      <c r="W1377" s="166"/>
      <c r="X1377" s="83" t="s">
        <v>80</v>
      </c>
      <c r="Y1377" s="176"/>
      <c r="Z1377" s="119" t="s">
        <v>79</v>
      </c>
      <c r="AA1377" s="168"/>
      <c r="AB1377" s="83" t="s">
        <v>80</v>
      </c>
      <c r="AC1377" s="175"/>
      <c r="AD1377" s="106" t="s">
        <v>3252</v>
      </c>
      <c r="AE1377" s="171"/>
    </row>
    <row r="1378" spans="1:31" s="171" customFormat="1" ht="51">
      <c r="A1378" s="126"/>
      <c r="B1378" s="106" t="s">
        <v>3433</v>
      </c>
      <c r="C1378" s="172"/>
      <c r="D1378" s="106" t="s">
        <v>3257</v>
      </c>
      <c r="E1378" s="126"/>
      <c r="F1378" s="83" t="s">
        <v>254</v>
      </c>
      <c r="G1378" s="126"/>
      <c r="H1378" s="83" t="s">
        <v>654</v>
      </c>
      <c r="I1378" s="126"/>
      <c r="J1378" s="83" t="s">
        <v>3411</v>
      </c>
      <c r="K1378" s="126"/>
      <c r="L1378" s="83" t="s">
        <v>737</v>
      </c>
      <c r="M1378" s="126"/>
      <c r="N1378" s="106" t="s">
        <v>96</v>
      </c>
      <c r="O1378" s="172"/>
      <c r="P1378" s="106" t="s">
        <v>3250</v>
      </c>
      <c r="Q1378" s="126"/>
      <c r="R1378" s="83" t="s">
        <v>77</v>
      </c>
      <c r="S1378" s="126"/>
      <c r="T1378" s="124" t="s">
        <v>3251</v>
      </c>
      <c r="U1378" s="166"/>
      <c r="V1378" s="83" t="s">
        <v>79</v>
      </c>
      <c r="W1378" s="166"/>
      <c r="X1378" s="83" t="s">
        <v>80</v>
      </c>
      <c r="Y1378" s="168"/>
      <c r="Z1378" s="119" t="s">
        <v>79</v>
      </c>
      <c r="AA1378" s="168"/>
      <c r="AB1378" s="83" t="s">
        <v>80</v>
      </c>
      <c r="AC1378" s="166"/>
      <c r="AD1378" s="106" t="s">
        <v>3252</v>
      </c>
    </row>
    <row r="1379" spans="1:31" s="171" customFormat="1" ht="51">
      <c r="A1379" s="126"/>
      <c r="B1379" s="106" t="s">
        <v>3434</v>
      </c>
      <c r="C1379" s="172"/>
      <c r="D1379" s="106" t="s">
        <v>3275</v>
      </c>
      <c r="E1379" s="126"/>
      <c r="F1379" s="83" t="s">
        <v>254</v>
      </c>
      <c r="G1379" s="126"/>
      <c r="H1379" s="83" t="s">
        <v>654</v>
      </c>
      <c r="I1379" s="126"/>
      <c r="J1379" s="83" t="s">
        <v>3411</v>
      </c>
      <c r="K1379" s="126"/>
      <c r="L1379" s="83" t="s">
        <v>737</v>
      </c>
      <c r="M1379" s="126"/>
      <c r="N1379" s="106" t="s">
        <v>96</v>
      </c>
      <c r="O1379" s="172"/>
      <c r="P1379" s="106" t="s">
        <v>3250</v>
      </c>
      <c r="Q1379" s="126"/>
      <c r="R1379" s="83" t="s">
        <v>77</v>
      </c>
      <c r="S1379" s="126"/>
      <c r="T1379" s="124" t="s">
        <v>3251</v>
      </c>
      <c r="U1379" s="166"/>
      <c r="V1379" s="83" t="s">
        <v>79</v>
      </c>
      <c r="W1379" s="166"/>
      <c r="X1379" s="83" t="s">
        <v>80</v>
      </c>
      <c r="Y1379" s="168"/>
      <c r="Z1379" s="119" t="s">
        <v>79</v>
      </c>
      <c r="AA1379" s="168"/>
      <c r="AB1379" s="83" t="s">
        <v>80</v>
      </c>
      <c r="AC1379" s="166"/>
      <c r="AD1379" s="106" t="s">
        <v>3252</v>
      </c>
      <c r="AE1379" s="177"/>
    </row>
    <row r="1380" spans="1:31" s="171" customFormat="1" ht="51">
      <c r="A1380" s="126"/>
      <c r="B1380" s="106" t="s">
        <v>3435</v>
      </c>
      <c r="C1380" s="172"/>
      <c r="D1380" s="106" t="s">
        <v>3255</v>
      </c>
      <c r="E1380" s="126"/>
      <c r="F1380" s="83" t="s">
        <v>254</v>
      </c>
      <c r="G1380" s="126"/>
      <c r="H1380" s="83" t="s">
        <v>654</v>
      </c>
      <c r="I1380" s="126"/>
      <c r="J1380" s="83" t="s">
        <v>3411</v>
      </c>
      <c r="K1380" s="126"/>
      <c r="L1380" s="83" t="s">
        <v>737</v>
      </c>
      <c r="M1380" s="126"/>
      <c r="N1380" s="106" t="s">
        <v>96</v>
      </c>
      <c r="O1380" s="172"/>
      <c r="P1380" s="106" t="s">
        <v>3250</v>
      </c>
      <c r="Q1380" s="126"/>
      <c r="R1380" s="83" t="s">
        <v>77</v>
      </c>
      <c r="S1380" s="126"/>
      <c r="T1380" s="124" t="s">
        <v>3251</v>
      </c>
      <c r="U1380" s="166"/>
      <c r="V1380" s="83" t="s">
        <v>79</v>
      </c>
      <c r="W1380" s="166"/>
      <c r="X1380" s="83" t="s">
        <v>80</v>
      </c>
      <c r="Y1380" s="168"/>
      <c r="Z1380" s="119" t="s">
        <v>79</v>
      </c>
      <c r="AA1380" s="168"/>
      <c r="AB1380" s="83" t="s">
        <v>80</v>
      </c>
      <c r="AC1380" s="166"/>
      <c r="AD1380" s="106" t="s">
        <v>3252</v>
      </c>
    </row>
    <row r="1381" spans="1:31" s="171" customFormat="1" ht="51">
      <c r="A1381" s="126"/>
      <c r="B1381" s="106" t="s">
        <v>3436</v>
      </c>
      <c r="C1381" s="172"/>
      <c r="D1381" s="106" t="s">
        <v>1515</v>
      </c>
      <c r="E1381" s="126"/>
      <c r="F1381" s="83" t="s">
        <v>254</v>
      </c>
      <c r="G1381" s="126"/>
      <c r="H1381" s="83" t="s">
        <v>654</v>
      </c>
      <c r="I1381" s="126"/>
      <c r="J1381" s="83" t="s">
        <v>3411</v>
      </c>
      <c r="K1381" s="126"/>
      <c r="L1381" s="83" t="s">
        <v>737</v>
      </c>
      <c r="M1381" s="126"/>
      <c r="N1381" s="106" t="s">
        <v>96</v>
      </c>
      <c r="O1381" s="172"/>
      <c r="P1381" s="106" t="s">
        <v>3250</v>
      </c>
      <c r="Q1381" s="126"/>
      <c r="R1381" s="83" t="s">
        <v>77</v>
      </c>
      <c r="S1381" s="126"/>
      <c r="T1381" s="124" t="s">
        <v>3251</v>
      </c>
      <c r="U1381" s="166"/>
      <c r="V1381" s="83" t="s">
        <v>79</v>
      </c>
      <c r="W1381" s="166"/>
      <c r="X1381" s="83" t="s">
        <v>80</v>
      </c>
      <c r="Y1381" s="168"/>
      <c r="Z1381" s="119" t="s">
        <v>79</v>
      </c>
      <c r="AA1381" s="168"/>
      <c r="AB1381" s="83" t="s">
        <v>80</v>
      </c>
      <c r="AC1381" s="166"/>
      <c r="AD1381" s="106" t="s">
        <v>3252</v>
      </c>
    </row>
    <row r="1382" spans="1:31" s="171" customFormat="1" ht="51">
      <c r="A1382" s="126"/>
      <c r="B1382" s="106" t="s">
        <v>3437</v>
      </c>
      <c r="C1382" s="172"/>
      <c r="D1382" s="106" t="s">
        <v>3299</v>
      </c>
      <c r="E1382" s="126"/>
      <c r="F1382" s="83" t="s">
        <v>254</v>
      </c>
      <c r="G1382" s="126"/>
      <c r="H1382" s="83" t="s">
        <v>654</v>
      </c>
      <c r="I1382" s="126"/>
      <c r="J1382" s="83" t="s">
        <v>3411</v>
      </c>
      <c r="K1382" s="126"/>
      <c r="L1382" s="83" t="s">
        <v>737</v>
      </c>
      <c r="M1382" s="126"/>
      <c r="N1382" s="106" t="s">
        <v>96</v>
      </c>
      <c r="O1382" s="172"/>
      <c r="P1382" s="106" t="s">
        <v>3250</v>
      </c>
      <c r="Q1382" s="126"/>
      <c r="R1382" s="83" t="s">
        <v>77</v>
      </c>
      <c r="S1382" s="126"/>
      <c r="T1382" s="124" t="s">
        <v>3251</v>
      </c>
      <c r="U1382" s="166"/>
      <c r="V1382" s="83" t="s">
        <v>79</v>
      </c>
      <c r="W1382" s="166"/>
      <c r="X1382" s="83" t="s">
        <v>80</v>
      </c>
      <c r="Y1382" s="168"/>
      <c r="Z1382" s="119" t="s">
        <v>79</v>
      </c>
      <c r="AA1382" s="168"/>
      <c r="AB1382" s="83" t="s">
        <v>80</v>
      </c>
      <c r="AC1382" s="166"/>
      <c r="AD1382" s="106" t="s">
        <v>3252</v>
      </c>
    </row>
    <row r="1383" spans="1:31" s="171" customFormat="1" ht="51">
      <c r="A1383" s="126"/>
      <c r="B1383" s="106" t="s">
        <v>3438</v>
      </c>
      <c r="C1383" s="172"/>
      <c r="D1383" s="106" t="s">
        <v>702</v>
      </c>
      <c r="E1383" s="126"/>
      <c r="F1383" s="83" t="s">
        <v>370</v>
      </c>
      <c r="G1383" s="126"/>
      <c r="H1383" s="83" t="s">
        <v>654</v>
      </c>
      <c r="I1383" s="126"/>
      <c r="J1383" s="83" t="s">
        <v>3411</v>
      </c>
      <c r="K1383" s="126"/>
      <c r="L1383" s="83" t="s">
        <v>737</v>
      </c>
      <c r="M1383" s="126"/>
      <c r="N1383" s="106" t="s">
        <v>96</v>
      </c>
      <c r="O1383" s="172"/>
      <c r="P1383" s="106" t="s">
        <v>3250</v>
      </c>
      <c r="Q1383" s="126"/>
      <c r="R1383" s="83" t="s">
        <v>77</v>
      </c>
      <c r="S1383" s="126"/>
      <c r="T1383" s="124" t="s">
        <v>3251</v>
      </c>
      <c r="U1383" s="166"/>
      <c r="V1383" s="83" t="s">
        <v>79</v>
      </c>
      <c r="W1383" s="166"/>
      <c r="X1383" s="83" t="s">
        <v>80</v>
      </c>
      <c r="Y1383" s="168"/>
      <c r="Z1383" s="119" t="s">
        <v>79</v>
      </c>
      <c r="AA1383" s="168"/>
      <c r="AB1383" s="83" t="s">
        <v>80</v>
      </c>
      <c r="AC1383" s="166"/>
      <c r="AD1383" s="106" t="s">
        <v>3252</v>
      </c>
    </row>
    <row r="1384" spans="1:31" s="171" customFormat="1" ht="51">
      <c r="A1384" s="126"/>
      <c r="B1384" s="106" t="s">
        <v>3439</v>
      </c>
      <c r="C1384" s="172"/>
      <c r="D1384" s="106" t="s">
        <v>370</v>
      </c>
      <c r="E1384" s="126"/>
      <c r="F1384" s="83" t="s">
        <v>370</v>
      </c>
      <c r="G1384" s="126"/>
      <c r="H1384" s="83" t="s">
        <v>654</v>
      </c>
      <c r="I1384" s="126"/>
      <c r="J1384" s="83" t="s">
        <v>3411</v>
      </c>
      <c r="K1384" s="126"/>
      <c r="L1384" s="83" t="s">
        <v>737</v>
      </c>
      <c r="M1384" s="126"/>
      <c r="N1384" s="106" t="s">
        <v>96</v>
      </c>
      <c r="O1384" s="172"/>
      <c r="P1384" s="106" t="s">
        <v>3250</v>
      </c>
      <c r="Q1384" s="126"/>
      <c r="R1384" s="83" t="s">
        <v>77</v>
      </c>
      <c r="S1384" s="126"/>
      <c r="T1384" s="124" t="s">
        <v>3251</v>
      </c>
      <c r="U1384" s="166"/>
      <c r="V1384" s="83" t="s">
        <v>79</v>
      </c>
      <c r="W1384" s="166"/>
      <c r="X1384" s="83" t="s">
        <v>80</v>
      </c>
      <c r="Y1384" s="168"/>
      <c r="Z1384" s="119" t="s">
        <v>79</v>
      </c>
      <c r="AA1384" s="168"/>
      <c r="AB1384" s="83" t="s">
        <v>80</v>
      </c>
      <c r="AC1384" s="166"/>
      <c r="AD1384" s="106" t="s">
        <v>3252</v>
      </c>
    </row>
    <row r="1385" spans="1:31" s="171" customFormat="1" ht="51">
      <c r="A1385" s="126"/>
      <c r="B1385" s="106" t="s">
        <v>3440</v>
      </c>
      <c r="C1385" s="172"/>
      <c r="D1385" s="106" t="s">
        <v>1515</v>
      </c>
      <c r="E1385" s="126"/>
      <c r="F1385" s="83" t="s">
        <v>254</v>
      </c>
      <c r="G1385" s="126"/>
      <c r="H1385" s="83" t="s">
        <v>654</v>
      </c>
      <c r="I1385" s="126"/>
      <c r="J1385" s="83" t="s">
        <v>3411</v>
      </c>
      <c r="K1385" s="126"/>
      <c r="L1385" s="83" t="s">
        <v>737</v>
      </c>
      <c r="M1385" s="126"/>
      <c r="N1385" s="106" t="s">
        <v>96</v>
      </c>
      <c r="O1385" s="172"/>
      <c r="P1385" s="106" t="s">
        <v>3250</v>
      </c>
      <c r="Q1385" s="126"/>
      <c r="R1385" s="83" t="s">
        <v>77</v>
      </c>
      <c r="S1385" s="126"/>
      <c r="T1385" s="124" t="s">
        <v>3251</v>
      </c>
      <c r="U1385" s="166"/>
      <c r="V1385" s="83" t="s">
        <v>79</v>
      </c>
      <c r="W1385" s="166"/>
      <c r="X1385" s="83" t="s">
        <v>80</v>
      </c>
      <c r="Y1385" s="168"/>
      <c r="Z1385" s="119" t="s">
        <v>79</v>
      </c>
      <c r="AA1385" s="168"/>
      <c r="AB1385" s="83" t="s">
        <v>80</v>
      </c>
      <c r="AC1385" s="166"/>
      <c r="AD1385" s="106" t="s">
        <v>3252</v>
      </c>
    </row>
    <row r="1386" spans="1:31" s="171" customFormat="1" ht="51">
      <c r="A1386" s="126"/>
      <c r="B1386" s="106" t="s">
        <v>3441</v>
      </c>
      <c r="C1386" s="172"/>
      <c r="D1386" s="106" t="s">
        <v>3255</v>
      </c>
      <c r="E1386" s="126"/>
      <c r="F1386" s="83" t="s">
        <v>254</v>
      </c>
      <c r="G1386" s="126"/>
      <c r="H1386" s="83" t="s">
        <v>654</v>
      </c>
      <c r="I1386" s="126"/>
      <c r="J1386" s="83" t="s">
        <v>3411</v>
      </c>
      <c r="K1386" s="126"/>
      <c r="L1386" s="83" t="s">
        <v>737</v>
      </c>
      <c r="M1386" s="126"/>
      <c r="N1386" s="106" t="s">
        <v>96</v>
      </c>
      <c r="O1386" s="172"/>
      <c r="P1386" s="106" t="s">
        <v>3250</v>
      </c>
      <c r="Q1386" s="126"/>
      <c r="R1386" s="83" t="s">
        <v>77</v>
      </c>
      <c r="S1386" s="126"/>
      <c r="T1386" s="124" t="s">
        <v>3251</v>
      </c>
      <c r="U1386" s="166"/>
      <c r="V1386" s="83" t="s">
        <v>79</v>
      </c>
      <c r="W1386" s="166"/>
      <c r="X1386" s="83" t="s">
        <v>80</v>
      </c>
      <c r="Y1386" s="168"/>
      <c r="Z1386" s="119" t="s">
        <v>79</v>
      </c>
      <c r="AA1386" s="168"/>
      <c r="AB1386" s="83" t="s">
        <v>80</v>
      </c>
      <c r="AC1386" s="166"/>
      <c r="AD1386" s="106" t="s">
        <v>3252</v>
      </c>
    </row>
    <row r="1387" spans="1:31" s="171" customFormat="1" ht="51">
      <c r="A1387" s="126"/>
      <c r="B1387" s="106" t="s">
        <v>3442</v>
      </c>
      <c r="C1387" s="172"/>
      <c r="D1387" s="106" t="s">
        <v>3297</v>
      </c>
      <c r="E1387" s="126"/>
      <c r="F1387" s="83" t="s">
        <v>254</v>
      </c>
      <c r="G1387" s="126"/>
      <c r="H1387" s="83" t="s">
        <v>654</v>
      </c>
      <c r="I1387" s="126"/>
      <c r="J1387" s="83" t="s">
        <v>3443</v>
      </c>
      <c r="K1387" s="126"/>
      <c r="L1387" s="83" t="s">
        <v>737</v>
      </c>
      <c r="M1387" s="126"/>
      <c r="N1387" s="106" t="s">
        <v>96</v>
      </c>
      <c r="O1387" s="172"/>
      <c r="P1387" s="106" t="s">
        <v>3250</v>
      </c>
      <c r="Q1387" s="126"/>
      <c r="R1387" s="83" t="s">
        <v>77</v>
      </c>
      <c r="S1387" s="126"/>
      <c r="T1387" s="124" t="s">
        <v>3251</v>
      </c>
      <c r="U1387" s="166"/>
      <c r="V1387" s="83" t="s">
        <v>79</v>
      </c>
      <c r="W1387" s="166"/>
      <c r="X1387" s="83" t="s">
        <v>80</v>
      </c>
      <c r="Y1387" s="168"/>
      <c r="Z1387" s="119" t="s">
        <v>79</v>
      </c>
      <c r="AA1387" s="168"/>
      <c r="AB1387" s="83" t="s">
        <v>80</v>
      </c>
      <c r="AC1387" s="166"/>
      <c r="AD1387" s="106" t="s">
        <v>3252</v>
      </c>
    </row>
    <row r="1388" spans="1:31" s="171" customFormat="1" ht="51">
      <c r="A1388" s="126"/>
      <c r="B1388" s="106" t="s">
        <v>3444</v>
      </c>
      <c r="C1388" s="172"/>
      <c r="D1388" s="106" t="s">
        <v>3445</v>
      </c>
      <c r="E1388" s="126"/>
      <c r="F1388" s="83" t="s">
        <v>254</v>
      </c>
      <c r="G1388" s="126"/>
      <c r="H1388" s="83" t="s">
        <v>654</v>
      </c>
      <c r="I1388" s="126"/>
      <c r="J1388" s="83" t="s">
        <v>3443</v>
      </c>
      <c r="K1388" s="126"/>
      <c r="L1388" s="83" t="s">
        <v>737</v>
      </c>
      <c r="M1388" s="126"/>
      <c r="N1388" s="106" t="s">
        <v>96</v>
      </c>
      <c r="O1388" s="172"/>
      <c r="P1388" s="106" t="s">
        <v>3250</v>
      </c>
      <c r="Q1388" s="126"/>
      <c r="R1388" s="83" t="s">
        <v>77</v>
      </c>
      <c r="S1388" s="126"/>
      <c r="T1388" s="124" t="s">
        <v>3251</v>
      </c>
      <c r="U1388" s="166"/>
      <c r="V1388" s="83" t="s">
        <v>79</v>
      </c>
      <c r="W1388" s="166"/>
      <c r="X1388" s="83" t="s">
        <v>80</v>
      </c>
      <c r="Y1388" s="168"/>
      <c r="Z1388" s="119" t="s">
        <v>79</v>
      </c>
      <c r="AA1388" s="168"/>
      <c r="AB1388" s="83" t="s">
        <v>80</v>
      </c>
      <c r="AC1388" s="166"/>
      <c r="AD1388" s="106" t="s">
        <v>3252</v>
      </c>
    </row>
    <row r="1389" spans="1:31" s="171" customFormat="1" ht="51">
      <c r="A1389" s="126"/>
      <c r="B1389" s="106" t="s">
        <v>3446</v>
      </c>
      <c r="C1389" s="172"/>
      <c r="D1389" s="106" t="s">
        <v>71</v>
      </c>
      <c r="E1389" s="126"/>
      <c r="F1389" s="83" t="s">
        <v>71</v>
      </c>
      <c r="G1389" s="126"/>
      <c r="H1389" s="83" t="s">
        <v>654</v>
      </c>
      <c r="I1389" s="126"/>
      <c r="J1389" s="83" t="s">
        <v>3443</v>
      </c>
      <c r="K1389" s="126"/>
      <c r="L1389" s="83" t="s">
        <v>737</v>
      </c>
      <c r="M1389" s="126"/>
      <c r="N1389" s="106" t="s">
        <v>96</v>
      </c>
      <c r="O1389" s="172"/>
      <c r="P1389" s="106" t="s">
        <v>3250</v>
      </c>
      <c r="Q1389" s="126"/>
      <c r="R1389" s="83" t="s">
        <v>77</v>
      </c>
      <c r="S1389" s="126"/>
      <c r="T1389" s="124" t="s">
        <v>3251</v>
      </c>
      <c r="U1389" s="166"/>
      <c r="V1389" s="83" t="s">
        <v>79</v>
      </c>
      <c r="W1389" s="166"/>
      <c r="X1389" s="83" t="s">
        <v>80</v>
      </c>
      <c r="Y1389" s="168"/>
      <c r="Z1389" s="119" t="s">
        <v>79</v>
      </c>
      <c r="AA1389" s="168"/>
      <c r="AB1389" s="83" t="s">
        <v>80</v>
      </c>
      <c r="AC1389" s="166"/>
      <c r="AD1389" s="106" t="s">
        <v>3252</v>
      </c>
    </row>
    <row r="1390" spans="1:31" s="171" customFormat="1" ht="51">
      <c r="A1390" s="126"/>
      <c r="B1390" s="106" t="s">
        <v>3447</v>
      </c>
      <c r="C1390" s="172"/>
      <c r="D1390" s="106" t="s">
        <v>1434</v>
      </c>
      <c r="E1390" s="126"/>
      <c r="F1390" s="83" t="s">
        <v>254</v>
      </c>
      <c r="G1390" s="126"/>
      <c r="H1390" s="26" t="s">
        <v>116</v>
      </c>
      <c r="I1390" s="126"/>
      <c r="J1390" s="83" t="s">
        <v>299</v>
      </c>
      <c r="K1390" s="126"/>
      <c r="L1390" s="83" t="s">
        <v>737</v>
      </c>
      <c r="M1390" s="126"/>
      <c r="N1390" s="106" t="s">
        <v>96</v>
      </c>
      <c r="O1390" s="172"/>
      <c r="P1390" s="106" t="s">
        <v>3250</v>
      </c>
      <c r="Q1390" s="126"/>
      <c r="R1390" s="83" t="s">
        <v>77</v>
      </c>
      <c r="S1390" s="126"/>
      <c r="T1390" s="124" t="s">
        <v>3251</v>
      </c>
      <c r="U1390" s="166"/>
      <c r="V1390" s="83" t="s">
        <v>79</v>
      </c>
      <c r="W1390" s="166"/>
      <c r="X1390" s="83" t="s">
        <v>80</v>
      </c>
      <c r="Y1390" s="168"/>
      <c r="Z1390" s="119" t="s">
        <v>79</v>
      </c>
      <c r="AA1390" s="168"/>
      <c r="AB1390" s="83" t="s">
        <v>80</v>
      </c>
      <c r="AC1390" s="166"/>
      <c r="AD1390" s="106" t="s">
        <v>3252</v>
      </c>
    </row>
    <row r="1391" spans="1:31" s="171" customFormat="1" ht="51">
      <c r="A1391" s="126"/>
      <c r="B1391" s="106" t="s">
        <v>3448</v>
      </c>
      <c r="C1391" s="172"/>
      <c r="D1391" s="106" t="s">
        <v>702</v>
      </c>
      <c r="E1391" s="126"/>
      <c r="F1391" s="83" t="s">
        <v>370</v>
      </c>
      <c r="G1391" s="126"/>
      <c r="H1391" s="26" t="s">
        <v>116</v>
      </c>
      <c r="I1391" s="126"/>
      <c r="J1391" s="83" t="s">
        <v>299</v>
      </c>
      <c r="K1391" s="126"/>
      <c r="L1391" s="83" t="s">
        <v>737</v>
      </c>
      <c r="M1391" s="126"/>
      <c r="N1391" s="106" t="s">
        <v>96</v>
      </c>
      <c r="O1391" s="172"/>
      <c r="P1391" s="106" t="s">
        <v>3250</v>
      </c>
      <c r="Q1391" s="126"/>
      <c r="R1391" s="83" t="s">
        <v>77</v>
      </c>
      <c r="S1391" s="126"/>
      <c r="T1391" s="124" t="s">
        <v>3251</v>
      </c>
      <c r="U1391" s="166"/>
      <c r="V1391" s="83" t="s">
        <v>79</v>
      </c>
      <c r="W1391" s="166"/>
      <c r="X1391" s="83" t="s">
        <v>80</v>
      </c>
      <c r="Y1391" s="168"/>
      <c r="Z1391" s="119" t="s">
        <v>79</v>
      </c>
      <c r="AA1391" s="168"/>
      <c r="AB1391" s="83" t="s">
        <v>80</v>
      </c>
      <c r="AC1391" s="166"/>
      <c r="AD1391" s="106" t="s">
        <v>3252</v>
      </c>
    </row>
    <row r="1392" spans="1:31" s="171" customFormat="1" ht="51">
      <c r="A1392" s="126"/>
      <c r="B1392" s="106" t="s">
        <v>3449</v>
      </c>
      <c r="C1392" s="172"/>
      <c r="D1392" s="106" t="s">
        <v>702</v>
      </c>
      <c r="E1392" s="126"/>
      <c r="F1392" s="83" t="s">
        <v>370</v>
      </c>
      <c r="G1392" s="126"/>
      <c r="H1392" s="26" t="s">
        <v>116</v>
      </c>
      <c r="I1392" s="126"/>
      <c r="J1392" s="83" t="s">
        <v>299</v>
      </c>
      <c r="K1392" s="126"/>
      <c r="L1392" s="83" t="s">
        <v>737</v>
      </c>
      <c r="M1392" s="126"/>
      <c r="N1392" s="106" t="s">
        <v>96</v>
      </c>
      <c r="O1392" s="172"/>
      <c r="P1392" s="106" t="s">
        <v>3250</v>
      </c>
      <c r="Q1392" s="126"/>
      <c r="R1392" s="83" t="s">
        <v>77</v>
      </c>
      <c r="S1392" s="126"/>
      <c r="T1392" s="124" t="s">
        <v>3251</v>
      </c>
      <c r="U1392" s="166"/>
      <c r="V1392" s="83" t="s">
        <v>79</v>
      </c>
      <c r="W1392" s="166"/>
      <c r="X1392" s="83" t="s">
        <v>80</v>
      </c>
      <c r="Y1392" s="168"/>
      <c r="Z1392" s="119" t="s">
        <v>79</v>
      </c>
      <c r="AA1392" s="168"/>
      <c r="AB1392" s="83" t="s">
        <v>80</v>
      </c>
      <c r="AC1392" s="166"/>
      <c r="AD1392" s="106" t="s">
        <v>3252</v>
      </c>
    </row>
    <row r="1393" spans="1:31" s="171" customFormat="1" ht="51">
      <c r="A1393" s="126"/>
      <c r="B1393" s="106" t="s">
        <v>3450</v>
      </c>
      <c r="C1393" s="172"/>
      <c r="D1393" s="106" t="s">
        <v>3318</v>
      </c>
      <c r="E1393" s="126"/>
      <c r="F1393" s="83" t="s">
        <v>254</v>
      </c>
      <c r="G1393" s="126"/>
      <c r="H1393" s="26" t="s">
        <v>116</v>
      </c>
      <c r="I1393" s="126"/>
      <c r="J1393" s="83" t="s">
        <v>299</v>
      </c>
      <c r="K1393" s="126"/>
      <c r="L1393" s="83" t="s">
        <v>737</v>
      </c>
      <c r="M1393" s="126"/>
      <c r="N1393" s="106" t="s">
        <v>96</v>
      </c>
      <c r="O1393" s="172"/>
      <c r="P1393" s="106" t="s">
        <v>3250</v>
      </c>
      <c r="Q1393" s="126"/>
      <c r="R1393" s="83" t="s">
        <v>77</v>
      </c>
      <c r="S1393" s="126"/>
      <c r="T1393" s="124" t="s">
        <v>3251</v>
      </c>
      <c r="U1393" s="166"/>
      <c r="V1393" s="83" t="s">
        <v>79</v>
      </c>
      <c r="W1393" s="166"/>
      <c r="X1393" s="83" t="s">
        <v>80</v>
      </c>
      <c r="Y1393" s="168"/>
      <c r="Z1393" s="119" t="s">
        <v>79</v>
      </c>
      <c r="AA1393" s="168"/>
      <c r="AB1393" s="83" t="s">
        <v>80</v>
      </c>
      <c r="AC1393" s="166"/>
      <c r="AD1393" s="106" t="s">
        <v>3252</v>
      </c>
    </row>
    <row r="1394" spans="1:31" s="171" customFormat="1" ht="51">
      <c r="A1394" s="126"/>
      <c r="B1394" s="106" t="s">
        <v>3451</v>
      </c>
      <c r="C1394" s="172"/>
      <c r="D1394" s="106" t="s">
        <v>702</v>
      </c>
      <c r="E1394" s="126"/>
      <c r="F1394" s="83" t="s">
        <v>370</v>
      </c>
      <c r="G1394" s="126"/>
      <c r="H1394" s="26" t="s">
        <v>116</v>
      </c>
      <c r="I1394" s="126"/>
      <c r="J1394" s="83" t="s">
        <v>365</v>
      </c>
      <c r="K1394" s="126"/>
      <c r="L1394" s="83" t="s">
        <v>737</v>
      </c>
      <c r="M1394" s="126"/>
      <c r="N1394" s="106" t="s">
        <v>96</v>
      </c>
      <c r="O1394" s="172"/>
      <c r="P1394" s="106" t="s">
        <v>3250</v>
      </c>
      <c r="Q1394" s="126"/>
      <c r="R1394" s="83" t="s">
        <v>77</v>
      </c>
      <c r="S1394" s="126"/>
      <c r="T1394" s="124" t="s">
        <v>3251</v>
      </c>
      <c r="U1394" s="166"/>
      <c r="V1394" s="83" t="s">
        <v>79</v>
      </c>
      <c r="W1394" s="166"/>
      <c r="X1394" s="83" t="s">
        <v>80</v>
      </c>
      <c r="Y1394" s="168"/>
      <c r="Z1394" s="119" t="s">
        <v>79</v>
      </c>
      <c r="AA1394" s="168"/>
      <c r="AB1394" s="83" t="s">
        <v>80</v>
      </c>
      <c r="AC1394" s="166"/>
      <c r="AD1394" s="106" t="s">
        <v>3252</v>
      </c>
    </row>
    <row r="1395" spans="1:31" s="171" customFormat="1" ht="51">
      <c r="A1395" s="126"/>
      <c r="B1395" s="106" t="s">
        <v>3452</v>
      </c>
      <c r="C1395" s="172"/>
      <c r="D1395" s="106" t="s">
        <v>3275</v>
      </c>
      <c r="E1395" s="126"/>
      <c r="F1395" s="83" t="s">
        <v>254</v>
      </c>
      <c r="G1395" s="126"/>
      <c r="H1395" s="26" t="s">
        <v>116</v>
      </c>
      <c r="I1395" s="126"/>
      <c r="J1395" s="83" t="s">
        <v>365</v>
      </c>
      <c r="K1395" s="126"/>
      <c r="L1395" s="83" t="s">
        <v>737</v>
      </c>
      <c r="M1395" s="126"/>
      <c r="N1395" s="106" t="s">
        <v>96</v>
      </c>
      <c r="O1395" s="172"/>
      <c r="P1395" s="106" t="s">
        <v>3250</v>
      </c>
      <c r="Q1395" s="126"/>
      <c r="R1395" s="83" t="s">
        <v>77</v>
      </c>
      <c r="S1395" s="126"/>
      <c r="T1395" s="124" t="s">
        <v>3251</v>
      </c>
      <c r="U1395" s="166"/>
      <c r="V1395" s="83" t="s">
        <v>79</v>
      </c>
      <c r="W1395" s="166"/>
      <c r="X1395" s="83" t="s">
        <v>80</v>
      </c>
      <c r="Y1395" s="168"/>
      <c r="Z1395" s="119" t="s">
        <v>79</v>
      </c>
      <c r="AA1395" s="168"/>
      <c r="AB1395" s="83" t="s">
        <v>80</v>
      </c>
      <c r="AC1395" s="166"/>
      <c r="AD1395" s="106" t="s">
        <v>3252</v>
      </c>
    </row>
    <row r="1396" spans="1:31" s="171" customFormat="1" ht="51">
      <c r="A1396" s="126"/>
      <c r="B1396" s="106" t="s">
        <v>3453</v>
      </c>
      <c r="C1396" s="172"/>
      <c r="D1396" s="106" t="s">
        <v>370</v>
      </c>
      <c r="E1396" s="126"/>
      <c r="F1396" s="83" t="s">
        <v>370</v>
      </c>
      <c r="G1396" s="126"/>
      <c r="H1396" s="26" t="s">
        <v>116</v>
      </c>
      <c r="I1396" s="126"/>
      <c r="J1396" s="83" t="s">
        <v>3117</v>
      </c>
      <c r="K1396" s="126"/>
      <c r="L1396" s="83" t="s">
        <v>737</v>
      </c>
      <c r="M1396" s="126"/>
      <c r="N1396" s="106" t="s">
        <v>96</v>
      </c>
      <c r="O1396" s="172"/>
      <c r="P1396" s="106" t="s">
        <v>3250</v>
      </c>
      <c r="Q1396" s="126"/>
      <c r="R1396" s="83" t="s">
        <v>77</v>
      </c>
      <c r="S1396" s="126"/>
      <c r="T1396" s="124" t="s">
        <v>3251</v>
      </c>
      <c r="U1396" s="166"/>
      <c r="V1396" s="83" t="s">
        <v>79</v>
      </c>
      <c r="W1396" s="166"/>
      <c r="X1396" s="83" t="s">
        <v>80</v>
      </c>
      <c r="Y1396" s="168"/>
      <c r="Z1396" s="119" t="s">
        <v>79</v>
      </c>
      <c r="AA1396" s="168"/>
      <c r="AB1396" s="83" t="s">
        <v>80</v>
      </c>
      <c r="AC1396" s="166"/>
      <c r="AD1396" s="106" t="s">
        <v>3252</v>
      </c>
    </row>
    <row r="1397" spans="1:31" s="171" customFormat="1" ht="51">
      <c r="A1397" s="126"/>
      <c r="B1397" s="106" t="s">
        <v>3454</v>
      </c>
      <c r="C1397" s="172"/>
      <c r="D1397" s="106" t="s">
        <v>702</v>
      </c>
      <c r="E1397" s="126"/>
      <c r="F1397" s="83" t="s">
        <v>370</v>
      </c>
      <c r="G1397" s="126"/>
      <c r="H1397" s="26" t="s">
        <v>116</v>
      </c>
      <c r="I1397" s="126"/>
      <c r="J1397" s="83" t="s">
        <v>3117</v>
      </c>
      <c r="K1397" s="126"/>
      <c r="L1397" s="83" t="s">
        <v>737</v>
      </c>
      <c r="M1397" s="126"/>
      <c r="N1397" s="106" t="s">
        <v>96</v>
      </c>
      <c r="O1397" s="172"/>
      <c r="P1397" s="106" t="s">
        <v>3250</v>
      </c>
      <c r="Q1397" s="126"/>
      <c r="R1397" s="83" t="s">
        <v>77</v>
      </c>
      <c r="S1397" s="126"/>
      <c r="T1397" s="124" t="s">
        <v>3251</v>
      </c>
      <c r="U1397" s="166"/>
      <c r="V1397" s="83" t="s">
        <v>79</v>
      </c>
      <c r="W1397" s="166"/>
      <c r="X1397" s="83" t="s">
        <v>80</v>
      </c>
      <c r="Y1397" s="168"/>
      <c r="Z1397" s="119" t="s">
        <v>79</v>
      </c>
      <c r="AA1397" s="168"/>
      <c r="AB1397" s="83" t="s">
        <v>80</v>
      </c>
      <c r="AC1397" s="166"/>
      <c r="AD1397" s="106" t="s">
        <v>3252</v>
      </c>
    </row>
    <row r="1398" spans="1:31" s="171" customFormat="1" ht="51">
      <c r="A1398" s="126"/>
      <c r="B1398" s="106" t="s">
        <v>3455</v>
      </c>
      <c r="C1398" s="172"/>
      <c r="D1398" s="106" t="s">
        <v>370</v>
      </c>
      <c r="E1398" s="126"/>
      <c r="F1398" s="83" t="s">
        <v>370</v>
      </c>
      <c r="G1398" s="126"/>
      <c r="H1398" s="26" t="s">
        <v>116</v>
      </c>
      <c r="I1398" s="126"/>
      <c r="J1398" s="83" t="s">
        <v>3117</v>
      </c>
      <c r="K1398" s="126"/>
      <c r="L1398" s="83" t="s">
        <v>737</v>
      </c>
      <c r="M1398" s="126"/>
      <c r="N1398" s="106" t="s">
        <v>96</v>
      </c>
      <c r="O1398" s="172"/>
      <c r="P1398" s="106" t="s">
        <v>3250</v>
      </c>
      <c r="Q1398" s="126"/>
      <c r="R1398" s="83" t="s">
        <v>77</v>
      </c>
      <c r="S1398" s="126"/>
      <c r="T1398" s="124" t="s">
        <v>3251</v>
      </c>
      <c r="U1398" s="166"/>
      <c r="V1398" s="83" t="s">
        <v>79</v>
      </c>
      <c r="W1398" s="166"/>
      <c r="X1398" s="83" t="s">
        <v>80</v>
      </c>
      <c r="Y1398" s="168"/>
      <c r="Z1398" s="119" t="s">
        <v>79</v>
      </c>
      <c r="AA1398" s="168"/>
      <c r="AB1398" s="83" t="s">
        <v>80</v>
      </c>
      <c r="AC1398" s="166"/>
      <c r="AD1398" s="106" t="s">
        <v>3252</v>
      </c>
    </row>
    <row r="1399" spans="1:31" s="171" customFormat="1" ht="51">
      <c r="A1399" s="126"/>
      <c r="B1399" s="106" t="s">
        <v>3456</v>
      </c>
      <c r="C1399" s="172"/>
      <c r="D1399" s="106" t="s">
        <v>702</v>
      </c>
      <c r="E1399" s="126"/>
      <c r="F1399" s="83" t="s">
        <v>370</v>
      </c>
      <c r="G1399" s="126"/>
      <c r="H1399" s="26" t="s">
        <v>116</v>
      </c>
      <c r="I1399" s="126"/>
      <c r="J1399" s="83" t="s">
        <v>3117</v>
      </c>
      <c r="K1399" s="126"/>
      <c r="L1399" s="83" t="s">
        <v>737</v>
      </c>
      <c r="M1399" s="126"/>
      <c r="N1399" s="106" t="s">
        <v>96</v>
      </c>
      <c r="O1399" s="172"/>
      <c r="P1399" s="106" t="s">
        <v>3250</v>
      </c>
      <c r="Q1399" s="126"/>
      <c r="R1399" s="83" t="s">
        <v>77</v>
      </c>
      <c r="S1399" s="126"/>
      <c r="T1399" s="124" t="s">
        <v>3251</v>
      </c>
      <c r="U1399" s="166"/>
      <c r="V1399" s="83" t="s">
        <v>79</v>
      </c>
      <c r="W1399" s="166"/>
      <c r="X1399" s="83" t="s">
        <v>80</v>
      </c>
      <c r="Y1399" s="168"/>
      <c r="Z1399" s="119" t="s">
        <v>79</v>
      </c>
      <c r="AA1399" s="168"/>
      <c r="AB1399" s="83" t="s">
        <v>80</v>
      </c>
      <c r="AC1399" s="166"/>
      <c r="AD1399" s="106" t="s">
        <v>3252</v>
      </c>
    </row>
    <row r="1400" spans="1:31" s="171" customFormat="1" ht="51">
      <c r="A1400" s="126"/>
      <c r="B1400" s="146" t="s">
        <v>3457</v>
      </c>
      <c r="C1400" s="172"/>
      <c r="D1400" s="106" t="s">
        <v>702</v>
      </c>
      <c r="E1400" s="126"/>
      <c r="F1400" s="83" t="s">
        <v>370</v>
      </c>
      <c r="G1400" s="126"/>
      <c r="H1400" s="26" t="s">
        <v>116</v>
      </c>
      <c r="I1400" s="126"/>
      <c r="J1400" s="83" t="s">
        <v>3117</v>
      </c>
      <c r="K1400" s="126"/>
      <c r="L1400" s="83" t="s">
        <v>737</v>
      </c>
      <c r="M1400" s="126"/>
      <c r="N1400" s="106" t="s">
        <v>96</v>
      </c>
      <c r="O1400" s="172"/>
      <c r="P1400" s="106" t="s">
        <v>3250</v>
      </c>
      <c r="Q1400" s="126"/>
      <c r="R1400" s="83" t="s">
        <v>77</v>
      </c>
      <c r="S1400" s="126"/>
      <c r="T1400" s="124" t="s">
        <v>3251</v>
      </c>
      <c r="U1400" s="166"/>
      <c r="V1400" s="83" t="s">
        <v>79</v>
      </c>
      <c r="W1400" s="166"/>
      <c r="X1400" s="83" t="s">
        <v>80</v>
      </c>
      <c r="Y1400" s="168"/>
      <c r="Z1400" s="119" t="s">
        <v>79</v>
      </c>
      <c r="AA1400" s="168"/>
      <c r="AB1400" s="83" t="s">
        <v>80</v>
      </c>
      <c r="AC1400" s="166"/>
      <c r="AD1400" s="106" t="s">
        <v>3252</v>
      </c>
    </row>
    <row r="1401" spans="1:31" s="171" customFormat="1" ht="51">
      <c r="A1401" s="126"/>
      <c r="B1401" s="106" t="s">
        <v>3458</v>
      </c>
      <c r="C1401" s="178"/>
      <c r="D1401" s="106" t="s">
        <v>702</v>
      </c>
      <c r="E1401" s="126"/>
      <c r="F1401" s="83" t="s">
        <v>370</v>
      </c>
      <c r="G1401" s="126"/>
      <c r="H1401" s="26" t="s">
        <v>116</v>
      </c>
      <c r="I1401" s="126"/>
      <c r="J1401" s="83" t="s">
        <v>3117</v>
      </c>
      <c r="K1401" s="126"/>
      <c r="L1401" s="83" t="s">
        <v>737</v>
      </c>
      <c r="M1401" s="126"/>
      <c r="N1401" s="106" t="s">
        <v>96</v>
      </c>
      <c r="O1401" s="172"/>
      <c r="P1401" s="106" t="s">
        <v>3250</v>
      </c>
      <c r="Q1401" s="126"/>
      <c r="R1401" s="83" t="s">
        <v>77</v>
      </c>
      <c r="S1401" s="126"/>
      <c r="T1401" s="124" t="s">
        <v>3251</v>
      </c>
      <c r="U1401" s="166"/>
      <c r="V1401" s="83" t="s">
        <v>79</v>
      </c>
      <c r="W1401" s="166"/>
      <c r="X1401" s="83" t="s">
        <v>80</v>
      </c>
      <c r="Y1401" s="168"/>
      <c r="Z1401" s="119" t="s">
        <v>79</v>
      </c>
      <c r="AA1401" s="168"/>
      <c r="AB1401" s="83" t="s">
        <v>80</v>
      </c>
      <c r="AC1401" s="166"/>
      <c r="AD1401" s="106" t="s">
        <v>3252</v>
      </c>
    </row>
    <row r="1402" spans="1:31" s="171" customFormat="1" ht="51">
      <c r="A1402" s="126"/>
      <c r="B1402" s="183" t="s">
        <v>3459</v>
      </c>
      <c r="C1402" s="172"/>
      <c r="D1402" s="106" t="s">
        <v>3318</v>
      </c>
      <c r="E1402" s="126"/>
      <c r="F1402" s="83" t="s">
        <v>254</v>
      </c>
      <c r="G1402" s="126"/>
      <c r="H1402" s="26" t="s">
        <v>116</v>
      </c>
      <c r="I1402" s="126"/>
      <c r="J1402" s="83" t="s">
        <v>3117</v>
      </c>
      <c r="K1402" s="126"/>
      <c r="L1402" s="83" t="s">
        <v>737</v>
      </c>
      <c r="M1402" s="126"/>
      <c r="N1402" s="106" t="s">
        <v>96</v>
      </c>
      <c r="O1402" s="172"/>
      <c r="P1402" s="106" t="s">
        <v>3250</v>
      </c>
      <c r="Q1402" s="126"/>
      <c r="R1402" s="83" t="s">
        <v>77</v>
      </c>
      <c r="S1402" s="126"/>
      <c r="T1402" s="124" t="s">
        <v>3251</v>
      </c>
      <c r="U1402" s="166"/>
      <c r="V1402" s="83" t="s">
        <v>79</v>
      </c>
      <c r="W1402" s="166"/>
      <c r="X1402" s="83" t="s">
        <v>80</v>
      </c>
      <c r="Y1402" s="168"/>
      <c r="Z1402" s="119" t="s">
        <v>79</v>
      </c>
      <c r="AA1402" s="168"/>
      <c r="AB1402" s="83" t="s">
        <v>80</v>
      </c>
      <c r="AC1402" s="166"/>
      <c r="AD1402" s="106" t="s">
        <v>3252</v>
      </c>
    </row>
    <row r="1403" spans="1:31" s="171" customFormat="1" ht="51">
      <c r="A1403" s="126"/>
      <c r="B1403" s="106" t="s">
        <v>3460</v>
      </c>
      <c r="C1403" s="172"/>
      <c r="D1403" s="106" t="s">
        <v>1323</v>
      </c>
      <c r="E1403" s="126"/>
      <c r="F1403" s="83" t="s">
        <v>254</v>
      </c>
      <c r="G1403" s="126"/>
      <c r="H1403" s="26" t="s">
        <v>116</v>
      </c>
      <c r="I1403" s="126"/>
      <c r="J1403" s="83" t="s">
        <v>3117</v>
      </c>
      <c r="K1403" s="126"/>
      <c r="L1403" s="83" t="s">
        <v>737</v>
      </c>
      <c r="M1403" s="126"/>
      <c r="N1403" s="106" t="s">
        <v>96</v>
      </c>
      <c r="O1403" s="172"/>
      <c r="P1403" s="106" t="s">
        <v>3250</v>
      </c>
      <c r="Q1403" s="126"/>
      <c r="R1403" s="83" t="s">
        <v>77</v>
      </c>
      <c r="S1403" s="126"/>
      <c r="T1403" s="124" t="s">
        <v>3251</v>
      </c>
      <c r="U1403" s="166"/>
      <c r="V1403" s="83" t="s">
        <v>79</v>
      </c>
      <c r="W1403" s="166"/>
      <c r="X1403" s="83" t="s">
        <v>80</v>
      </c>
      <c r="Y1403" s="168"/>
      <c r="Z1403" s="119" t="s">
        <v>79</v>
      </c>
      <c r="AA1403" s="168"/>
      <c r="AB1403" s="83" t="s">
        <v>80</v>
      </c>
      <c r="AC1403" s="166"/>
      <c r="AD1403" s="106" t="s">
        <v>3252</v>
      </c>
    </row>
    <row r="1404" spans="1:31" s="171" customFormat="1" ht="51">
      <c r="A1404" s="126"/>
      <c r="B1404" s="106" t="s">
        <v>3461</v>
      </c>
      <c r="C1404" s="172"/>
      <c r="D1404" s="106" t="s">
        <v>370</v>
      </c>
      <c r="E1404" s="126"/>
      <c r="F1404" s="83" t="s">
        <v>370</v>
      </c>
      <c r="G1404" s="126"/>
      <c r="H1404" s="26" t="s">
        <v>116</v>
      </c>
      <c r="I1404" s="126"/>
      <c r="J1404" s="83" t="s">
        <v>3462</v>
      </c>
      <c r="K1404" s="126"/>
      <c r="L1404" s="83" t="s">
        <v>737</v>
      </c>
      <c r="M1404" s="126"/>
      <c r="N1404" s="106" t="s">
        <v>96</v>
      </c>
      <c r="O1404" s="172"/>
      <c r="P1404" s="106" t="s">
        <v>3250</v>
      </c>
      <c r="Q1404" s="126"/>
      <c r="R1404" s="83" t="s">
        <v>77</v>
      </c>
      <c r="S1404" s="126"/>
      <c r="T1404" s="124" t="s">
        <v>3251</v>
      </c>
      <c r="U1404" s="166"/>
      <c r="V1404" s="83" t="s">
        <v>79</v>
      </c>
      <c r="W1404" s="166"/>
      <c r="X1404" s="83" t="s">
        <v>80</v>
      </c>
      <c r="Y1404" s="168"/>
      <c r="Z1404" s="119" t="s">
        <v>79</v>
      </c>
      <c r="AA1404" s="168"/>
      <c r="AB1404" s="83" t="s">
        <v>80</v>
      </c>
      <c r="AC1404" s="166"/>
      <c r="AD1404" s="106" t="s">
        <v>3252</v>
      </c>
    </row>
    <row r="1405" spans="1:31" s="171" customFormat="1" ht="51">
      <c r="A1405" s="126"/>
      <c r="B1405" s="106" t="s">
        <v>3463</v>
      </c>
      <c r="C1405" s="172"/>
      <c r="D1405" s="106" t="s">
        <v>702</v>
      </c>
      <c r="E1405" s="126"/>
      <c r="F1405" s="83" t="s">
        <v>370</v>
      </c>
      <c r="G1405" s="126"/>
      <c r="H1405" s="26" t="s">
        <v>116</v>
      </c>
      <c r="I1405" s="126"/>
      <c r="J1405" s="83" t="s">
        <v>3462</v>
      </c>
      <c r="K1405" s="126"/>
      <c r="L1405" s="83" t="s">
        <v>737</v>
      </c>
      <c r="M1405" s="126"/>
      <c r="N1405" s="106" t="s">
        <v>96</v>
      </c>
      <c r="O1405" s="172"/>
      <c r="P1405" s="106" t="s">
        <v>3250</v>
      </c>
      <c r="Q1405" s="126"/>
      <c r="R1405" s="83" t="s">
        <v>77</v>
      </c>
      <c r="S1405" s="126"/>
      <c r="T1405" s="124" t="s">
        <v>3251</v>
      </c>
      <c r="U1405" s="166"/>
      <c r="V1405" s="83" t="s">
        <v>79</v>
      </c>
      <c r="W1405" s="166"/>
      <c r="X1405" s="83" t="s">
        <v>80</v>
      </c>
      <c r="Y1405" s="168"/>
      <c r="Z1405" s="119" t="s">
        <v>79</v>
      </c>
      <c r="AA1405" s="168"/>
      <c r="AB1405" s="83" t="s">
        <v>80</v>
      </c>
      <c r="AC1405" s="166"/>
      <c r="AD1405" s="106" t="s">
        <v>3252</v>
      </c>
    </row>
    <row r="1406" spans="1:31" s="171" customFormat="1" ht="51">
      <c r="A1406" s="126"/>
      <c r="B1406" s="106" t="s">
        <v>3464</v>
      </c>
      <c r="C1406" s="172"/>
      <c r="D1406" s="106" t="s">
        <v>3465</v>
      </c>
      <c r="E1406" s="126"/>
      <c r="F1406" s="83" t="s">
        <v>254</v>
      </c>
      <c r="G1406" s="126"/>
      <c r="H1406" s="26" t="s">
        <v>116</v>
      </c>
      <c r="I1406" s="126"/>
      <c r="J1406" s="83" t="s">
        <v>3269</v>
      </c>
      <c r="K1406" s="126"/>
      <c r="L1406" s="83" t="s">
        <v>737</v>
      </c>
      <c r="M1406" s="126"/>
      <c r="N1406" s="106" t="s">
        <v>96</v>
      </c>
      <c r="O1406" s="172"/>
      <c r="P1406" s="106" t="s">
        <v>3250</v>
      </c>
      <c r="Q1406" s="126"/>
      <c r="R1406" s="83" t="s">
        <v>77</v>
      </c>
      <c r="S1406" s="126"/>
      <c r="T1406" s="124" t="s">
        <v>3251</v>
      </c>
      <c r="U1406" s="166"/>
      <c r="V1406" s="83" t="s">
        <v>79</v>
      </c>
      <c r="W1406" s="166"/>
      <c r="X1406" s="83" t="s">
        <v>80</v>
      </c>
      <c r="Y1406" s="168"/>
      <c r="Z1406" s="119" t="s">
        <v>79</v>
      </c>
      <c r="AA1406" s="168"/>
      <c r="AB1406" s="83" t="s">
        <v>80</v>
      </c>
      <c r="AC1406" s="166"/>
      <c r="AD1406" s="106" t="s">
        <v>3252</v>
      </c>
    </row>
    <row r="1407" spans="1:31" s="171" customFormat="1" ht="51">
      <c r="A1407" s="126"/>
      <c r="B1407" s="106" t="s">
        <v>3466</v>
      </c>
      <c r="C1407" s="172"/>
      <c r="D1407" s="106" t="s">
        <v>71</v>
      </c>
      <c r="E1407" s="126"/>
      <c r="F1407" s="83" t="s">
        <v>71</v>
      </c>
      <c r="G1407" s="126"/>
      <c r="H1407" s="26" t="s">
        <v>116</v>
      </c>
      <c r="I1407" s="126"/>
      <c r="J1407" s="83" t="s">
        <v>3269</v>
      </c>
      <c r="K1407" s="126"/>
      <c r="L1407" s="83" t="s">
        <v>737</v>
      </c>
      <c r="M1407" s="126"/>
      <c r="N1407" s="106" t="s">
        <v>96</v>
      </c>
      <c r="O1407" s="172"/>
      <c r="P1407" s="106" t="s">
        <v>3250</v>
      </c>
      <c r="Q1407" s="126"/>
      <c r="R1407" s="83" t="s">
        <v>77</v>
      </c>
      <c r="S1407" s="126"/>
      <c r="T1407" s="124" t="s">
        <v>3251</v>
      </c>
      <c r="U1407" s="166"/>
      <c r="V1407" s="83" t="s">
        <v>79</v>
      </c>
      <c r="W1407" s="166"/>
      <c r="X1407" s="83" t="s">
        <v>80</v>
      </c>
      <c r="Y1407" s="168"/>
      <c r="Z1407" s="119" t="s">
        <v>79</v>
      </c>
      <c r="AA1407" s="168"/>
      <c r="AB1407" s="83" t="s">
        <v>80</v>
      </c>
      <c r="AC1407" s="166"/>
      <c r="AD1407" s="106" t="s">
        <v>3252</v>
      </c>
    </row>
    <row r="1408" spans="1:31" s="177" customFormat="1" ht="51">
      <c r="A1408" s="138"/>
      <c r="B1408" s="146" t="s">
        <v>3467</v>
      </c>
      <c r="C1408" s="173"/>
      <c r="D1408" s="146" t="s">
        <v>3468</v>
      </c>
      <c r="E1408" s="138"/>
      <c r="F1408" s="148" t="s">
        <v>254</v>
      </c>
      <c r="G1408" s="138"/>
      <c r="H1408" s="133" t="s">
        <v>116</v>
      </c>
      <c r="I1408" s="138"/>
      <c r="J1408" s="148" t="s">
        <v>712</v>
      </c>
      <c r="K1408" s="138"/>
      <c r="L1408" s="148" t="s">
        <v>737</v>
      </c>
      <c r="M1408" s="138"/>
      <c r="N1408" s="146" t="s">
        <v>96</v>
      </c>
      <c r="O1408" s="173"/>
      <c r="P1408" s="146" t="s">
        <v>3250</v>
      </c>
      <c r="Q1408" s="138"/>
      <c r="R1408" s="148" t="s">
        <v>77</v>
      </c>
      <c r="S1408" s="138"/>
      <c r="T1408" s="174" t="s">
        <v>3251</v>
      </c>
      <c r="U1408" s="175"/>
      <c r="V1408" s="83" t="s">
        <v>79</v>
      </c>
      <c r="W1408" s="166"/>
      <c r="X1408" s="83" t="s">
        <v>80</v>
      </c>
      <c r="Y1408" s="176"/>
      <c r="Z1408" s="119" t="s">
        <v>79</v>
      </c>
      <c r="AA1408" s="168"/>
      <c r="AB1408" s="83" t="s">
        <v>80</v>
      </c>
      <c r="AC1408" s="175"/>
      <c r="AD1408" s="106" t="s">
        <v>3252</v>
      </c>
      <c r="AE1408" s="171"/>
    </row>
    <row r="1409" spans="1:31" s="171" customFormat="1" ht="51">
      <c r="A1409" s="126"/>
      <c r="B1409" s="106" t="s">
        <v>3469</v>
      </c>
      <c r="C1409" s="172"/>
      <c r="D1409" s="106" t="s">
        <v>1323</v>
      </c>
      <c r="E1409" s="126"/>
      <c r="F1409" s="83" t="s">
        <v>254</v>
      </c>
      <c r="G1409" s="126"/>
      <c r="H1409" s="26" t="s">
        <v>116</v>
      </c>
      <c r="I1409" s="126"/>
      <c r="J1409" s="83" t="s">
        <v>712</v>
      </c>
      <c r="K1409" s="126"/>
      <c r="L1409" s="83" t="s">
        <v>737</v>
      </c>
      <c r="M1409" s="126"/>
      <c r="N1409" s="106" t="s">
        <v>96</v>
      </c>
      <c r="O1409" s="172"/>
      <c r="P1409" s="106" t="s">
        <v>3250</v>
      </c>
      <c r="Q1409" s="126"/>
      <c r="R1409" s="83" t="s">
        <v>77</v>
      </c>
      <c r="S1409" s="126"/>
      <c r="T1409" s="124" t="s">
        <v>3251</v>
      </c>
      <c r="U1409" s="166"/>
      <c r="V1409" s="83" t="s">
        <v>79</v>
      </c>
      <c r="W1409" s="166"/>
      <c r="X1409" s="83" t="s">
        <v>80</v>
      </c>
      <c r="Y1409" s="168"/>
      <c r="Z1409" s="119" t="s">
        <v>79</v>
      </c>
      <c r="AA1409" s="168"/>
      <c r="AB1409" s="83" t="s">
        <v>80</v>
      </c>
      <c r="AC1409" s="166"/>
      <c r="AD1409" s="106" t="s">
        <v>3252</v>
      </c>
    </row>
    <row r="1410" spans="1:31" s="171" customFormat="1" ht="51">
      <c r="A1410" s="126"/>
      <c r="B1410" s="106" t="s">
        <v>3470</v>
      </c>
      <c r="C1410" s="172"/>
      <c r="D1410" s="106" t="s">
        <v>553</v>
      </c>
      <c r="E1410" s="126"/>
      <c r="F1410" s="83" t="s">
        <v>254</v>
      </c>
      <c r="G1410" s="126"/>
      <c r="H1410" s="26" t="s">
        <v>116</v>
      </c>
      <c r="I1410" s="126"/>
      <c r="J1410" s="83" t="s">
        <v>3273</v>
      </c>
      <c r="K1410" s="126"/>
      <c r="L1410" s="83" t="s">
        <v>737</v>
      </c>
      <c r="M1410" s="126"/>
      <c r="N1410" s="106" t="s">
        <v>96</v>
      </c>
      <c r="O1410" s="172"/>
      <c r="P1410" s="106" t="s">
        <v>3250</v>
      </c>
      <c r="Q1410" s="126"/>
      <c r="R1410" s="83" t="s">
        <v>77</v>
      </c>
      <c r="S1410" s="126"/>
      <c r="T1410" s="124" t="s">
        <v>3251</v>
      </c>
      <c r="U1410" s="166"/>
      <c r="V1410" s="83" t="s">
        <v>79</v>
      </c>
      <c r="W1410" s="166"/>
      <c r="X1410" s="83" t="s">
        <v>80</v>
      </c>
      <c r="Y1410" s="168"/>
      <c r="Z1410" s="119" t="s">
        <v>79</v>
      </c>
      <c r="AA1410" s="168"/>
      <c r="AB1410" s="83" t="s">
        <v>80</v>
      </c>
      <c r="AC1410" s="166"/>
      <c r="AD1410" s="106" t="s">
        <v>3252</v>
      </c>
      <c r="AE1410" s="177"/>
    </row>
    <row r="1411" spans="1:31" s="171" customFormat="1" ht="51">
      <c r="A1411" s="126"/>
      <c r="B1411" s="106" t="s">
        <v>3471</v>
      </c>
      <c r="C1411" s="172"/>
      <c r="D1411" s="106" t="s">
        <v>702</v>
      </c>
      <c r="E1411" s="126"/>
      <c r="F1411" s="83" t="s">
        <v>370</v>
      </c>
      <c r="G1411" s="126"/>
      <c r="H1411" s="26" t="s">
        <v>116</v>
      </c>
      <c r="I1411" s="126"/>
      <c r="J1411" s="83" t="s">
        <v>3273</v>
      </c>
      <c r="K1411" s="126"/>
      <c r="L1411" s="83" t="s">
        <v>737</v>
      </c>
      <c r="M1411" s="126"/>
      <c r="N1411" s="106" t="s">
        <v>96</v>
      </c>
      <c r="O1411" s="172"/>
      <c r="P1411" s="106" t="s">
        <v>3250</v>
      </c>
      <c r="Q1411" s="126"/>
      <c r="R1411" s="83" t="s">
        <v>77</v>
      </c>
      <c r="S1411" s="126"/>
      <c r="T1411" s="124" t="s">
        <v>3251</v>
      </c>
      <c r="U1411" s="166"/>
      <c r="V1411" s="83" t="s">
        <v>79</v>
      </c>
      <c r="W1411" s="166"/>
      <c r="X1411" s="83" t="s">
        <v>80</v>
      </c>
      <c r="Y1411" s="168"/>
      <c r="Z1411" s="119" t="s">
        <v>79</v>
      </c>
      <c r="AA1411" s="168"/>
      <c r="AB1411" s="83" t="s">
        <v>80</v>
      </c>
      <c r="AC1411" s="166"/>
      <c r="AD1411" s="106" t="s">
        <v>3252</v>
      </c>
    </row>
    <row r="1412" spans="1:31" s="171" customFormat="1" ht="51">
      <c r="A1412" s="126"/>
      <c r="B1412" s="106" t="s">
        <v>3472</v>
      </c>
      <c r="C1412" s="172"/>
      <c r="D1412" s="106" t="s">
        <v>71</v>
      </c>
      <c r="E1412" s="126"/>
      <c r="F1412" s="83" t="s">
        <v>71</v>
      </c>
      <c r="G1412" s="126"/>
      <c r="H1412" s="26" t="s">
        <v>116</v>
      </c>
      <c r="I1412" s="126"/>
      <c r="J1412" s="83" t="s">
        <v>3273</v>
      </c>
      <c r="K1412" s="126"/>
      <c r="L1412" s="83" t="s">
        <v>737</v>
      </c>
      <c r="M1412" s="126"/>
      <c r="N1412" s="106" t="s">
        <v>96</v>
      </c>
      <c r="O1412" s="172"/>
      <c r="P1412" s="106" t="s">
        <v>3250</v>
      </c>
      <c r="Q1412" s="126"/>
      <c r="R1412" s="83" t="s">
        <v>77</v>
      </c>
      <c r="S1412" s="126"/>
      <c r="T1412" s="124" t="s">
        <v>3251</v>
      </c>
      <c r="U1412" s="166"/>
      <c r="V1412" s="83" t="s">
        <v>79</v>
      </c>
      <c r="W1412" s="166"/>
      <c r="X1412" s="83" t="s">
        <v>80</v>
      </c>
      <c r="Y1412" s="168"/>
      <c r="Z1412" s="119" t="s">
        <v>79</v>
      </c>
      <c r="AA1412" s="168"/>
      <c r="AB1412" s="83" t="s">
        <v>80</v>
      </c>
      <c r="AC1412" s="166"/>
      <c r="AD1412" s="106" t="s">
        <v>3252</v>
      </c>
    </row>
    <row r="1413" spans="1:31" s="171" customFormat="1" ht="51">
      <c r="A1413" s="126"/>
      <c r="B1413" s="106" t="s">
        <v>3473</v>
      </c>
      <c r="C1413" s="172"/>
      <c r="D1413" s="106" t="s">
        <v>1323</v>
      </c>
      <c r="E1413" s="126"/>
      <c r="F1413" s="83" t="s">
        <v>254</v>
      </c>
      <c r="G1413" s="126"/>
      <c r="H1413" s="26" t="s">
        <v>116</v>
      </c>
      <c r="I1413" s="126"/>
      <c r="J1413" s="83" t="s">
        <v>306</v>
      </c>
      <c r="K1413" s="126"/>
      <c r="L1413" s="83" t="s">
        <v>737</v>
      </c>
      <c r="M1413" s="126"/>
      <c r="N1413" s="106" t="s">
        <v>96</v>
      </c>
      <c r="O1413" s="172"/>
      <c r="P1413" s="106" t="s">
        <v>3250</v>
      </c>
      <c r="Q1413" s="126"/>
      <c r="R1413" s="83" t="s">
        <v>77</v>
      </c>
      <c r="S1413" s="126"/>
      <c r="T1413" s="124" t="s">
        <v>3251</v>
      </c>
      <c r="U1413" s="166"/>
      <c r="V1413" s="83" t="s">
        <v>79</v>
      </c>
      <c r="W1413" s="166"/>
      <c r="X1413" s="83" t="s">
        <v>80</v>
      </c>
      <c r="Y1413" s="168"/>
      <c r="Z1413" s="119" t="s">
        <v>79</v>
      </c>
      <c r="AA1413" s="168"/>
      <c r="AB1413" s="83" t="s">
        <v>80</v>
      </c>
      <c r="AC1413" s="166"/>
      <c r="AD1413" s="106" t="s">
        <v>3252</v>
      </c>
    </row>
    <row r="1414" spans="1:31" s="171" customFormat="1" ht="51">
      <c r="A1414" s="126"/>
      <c r="B1414" s="106" t="s">
        <v>3474</v>
      </c>
      <c r="C1414" s="172"/>
      <c r="D1414" s="106" t="s">
        <v>702</v>
      </c>
      <c r="E1414" s="126"/>
      <c r="F1414" s="83" t="s">
        <v>370</v>
      </c>
      <c r="G1414" s="126"/>
      <c r="H1414" s="26" t="s">
        <v>116</v>
      </c>
      <c r="I1414" s="126"/>
      <c r="J1414" s="83" t="s">
        <v>306</v>
      </c>
      <c r="K1414" s="126"/>
      <c r="L1414" s="83" t="s">
        <v>737</v>
      </c>
      <c r="M1414" s="126"/>
      <c r="N1414" s="106" t="s">
        <v>96</v>
      </c>
      <c r="O1414" s="172"/>
      <c r="P1414" s="106" t="s">
        <v>3250</v>
      </c>
      <c r="Q1414" s="126"/>
      <c r="R1414" s="83" t="s">
        <v>77</v>
      </c>
      <c r="S1414" s="126"/>
      <c r="T1414" s="124" t="s">
        <v>3251</v>
      </c>
      <c r="U1414" s="166"/>
      <c r="V1414" s="83" t="s">
        <v>79</v>
      </c>
      <c r="W1414" s="166"/>
      <c r="X1414" s="83" t="s">
        <v>80</v>
      </c>
      <c r="Y1414" s="168"/>
      <c r="Z1414" s="119" t="s">
        <v>79</v>
      </c>
      <c r="AA1414" s="168"/>
      <c r="AB1414" s="83" t="s">
        <v>80</v>
      </c>
      <c r="AC1414" s="166"/>
      <c r="AD1414" s="106" t="s">
        <v>3252</v>
      </c>
    </row>
    <row r="1415" spans="1:31" s="171" customFormat="1" ht="51">
      <c r="A1415" s="126"/>
      <c r="B1415" s="106" t="s">
        <v>3475</v>
      </c>
      <c r="C1415" s="172"/>
      <c r="D1415" s="106" t="s">
        <v>3318</v>
      </c>
      <c r="E1415" s="126"/>
      <c r="F1415" s="83" t="s">
        <v>254</v>
      </c>
      <c r="G1415" s="126"/>
      <c r="H1415" s="26" t="s">
        <v>116</v>
      </c>
      <c r="I1415" s="126"/>
      <c r="J1415" s="83" t="s">
        <v>306</v>
      </c>
      <c r="K1415" s="126"/>
      <c r="L1415" s="83" t="s">
        <v>737</v>
      </c>
      <c r="M1415" s="126"/>
      <c r="N1415" s="106" t="s">
        <v>96</v>
      </c>
      <c r="O1415" s="172"/>
      <c r="P1415" s="106" t="s">
        <v>3250</v>
      </c>
      <c r="Q1415" s="126"/>
      <c r="R1415" s="83" t="s">
        <v>77</v>
      </c>
      <c r="S1415" s="126"/>
      <c r="T1415" s="124" t="s">
        <v>3251</v>
      </c>
      <c r="U1415" s="166"/>
      <c r="V1415" s="83" t="s">
        <v>79</v>
      </c>
      <c r="W1415" s="166"/>
      <c r="X1415" s="83" t="s">
        <v>80</v>
      </c>
      <c r="Y1415" s="168"/>
      <c r="Z1415" s="119" t="s">
        <v>79</v>
      </c>
      <c r="AA1415" s="168"/>
      <c r="AB1415" s="83" t="s">
        <v>80</v>
      </c>
      <c r="AC1415" s="166"/>
      <c r="AD1415" s="106" t="s">
        <v>3252</v>
      </c>
    </row>
    <row r="1416" spans="1:31" s="171" customFormat="1" ht="51">
      <c r="A1416" s="126"/>
      <c r="B1416" s="106" t="s">
        <v>3476</v>
      </c>
      <c r="C1416" s="172"/>
      <c r="D1416" s="106" t="s">
        <v>1434</v>
      </c>
      <c r="E1416" s="126"/>
      <c r="F1416" s="83" t="s">
        <v>254</v>
      </c>
      <c r="G1416" s="126"/>
      <c r="H1416" s="26" t="s">
        <v>116</v>
      </c>
      <c r="I1416" s="126"/>
      <c r="J1416" s="83" t="s">
        <v>306</v>
      </c>
      <c r="K1416" s="126"/>
      <c r="L1416" s="83" t="s">
        <v>737</v>
      </c>
      <c r="M1416" s="126"/>
      <c r="N1416" s="106" t="s">
        <v>96</v>
      </c>
      <c r="O1416" s="172"/>
      <c r="P1416" s="106" t="s">
        <v>3250</v>
      </c>
      <c r="Q1416" s="126"/>
      <c r="R1416" s="83" t="s">
        <v>77</v>
      </c>
      <c r="S1416" s="126"/>
      <c r="T1416" s="124" t="s">
        <v>3251</v>
      </c>
      <c r="U1416" s="166"/>
      <c r="V1416" s="83" t="s">
        <v>79</v>
      </c>
      <c r="W1416" s="166"/>
      <c r="X1416" s="83" t="s">
        <v>80</v>
      </c>
      <c r="Y1416" s="168"/>
      <c r="Z1416" s="119" t="s">
        <v>79</v>
      </c>
      <c r="AA1416" s="168"/>
      <c r="AB1416" s="83" t="s">
        <v>80</v>
      </c>
      <c r="AC1416" s="166"/>
      <c r="AD1416" s="106" t="s">
        <v>3252</v>
      </c>
    </row>
    <row r="1417" spans="1:31" s="171" customFormat="1" ht="51">
      <c r="A1417" s="126"/>
      <c r="B1417" s="106" t="s">
        <v>3477</v>
      </c>
      <c r="C1417" s="172"/>
      <c r="D1417" s="106" t="s">
        <v>3478</v>
      </c>
      <c r="E1417" s="126"/>
      <c r="F1417" s="83" t="s">
        <v>254</v>
      </c>
      <c r="G1417" s="126"/>
      <c r="H1417" s="26" t="s">
        <v>116</v>
      </c>
      <c r="I1417" s="126"/>
      <c r="J1417" s="83" t="s">
        <v>306</v>
      </c>
      <c r="K1417" s="126"/>
      <c r="L1417" s="83" t="s">
        <v>737</v>
      </c>
      <c r="M1417" s="126"/>
      <c r="N1417" s="106" t="s">
        <v>96</v>
      </c>
      <c r="O1417" s="172"/>
      <c r="P1417" s="106" t="s">
        <v>3250</v>
      </c>
      <c r="Q1417" s="126"/>
      <c r="R1417" s="83" t="s">
        <v>77</v>
      </c>
      <c r="S1417" s="126"/>
      <c r="T1417" s="124" t="s">
        <v>3251</v>
      </c>
      <c r="U1417" s="166"/>
      <c r="V1417" s="83" t="s">
        <v>79</v>
      </c>
      <c r="W1417" s="166"/>
      <c r="X1417" s="83" t="s">
        <v>80</v>
      </c>
      <c r="Y1417" s="168"/>
      <c r="Z1417" s="119" t="s">
        <v>79</v>
      </c>
      <c r="AA1417" s="168"/>
      <c r="AB1417" s="83" t="s">
        <v>80</v>
      </c>
      <c r="AC1417" s="166"/>
      <c r="AD1417" s="106" t="s">
        <v>3252</v>
      </c>
    </row>
    <row r="1418" spans="1:31" s="171" customFormat="1" ht="51">
      <c r="A1418" s="126"/>
      <c r="B1418" s="106" t="s">
        <v>3479</v>
      </c>
      <c r="C1418" s="172"/>
      <c r="D1418" s="106" t="s">
        <v>702</v>
      </c>
      <c r="E1418" s="126"/>
      <c r="F1418" s="83" t="s">
        <v>370</v>
      </c>
      <c r="G1418" s="126"/>
      <c r="H1418" s="26" t="s">
        <v>116</v>
      </c>
      <c r="I1418" s="126"/>
      <c r="J1418" s="83" t="s">
        <v>306</v>
      </c>
      <c r="K1418" s="126"/>
      <c r="L1418" s="83" t="s">
        <v>737</v>
      </c>
      <c r="M1418" s="126"/>
      <c r="N1418" s="106" t="s">
        <v>96</v>
      </c>
      <c r="O1418" s="172"/>
      <c r="P1418" s="106" t="s">
        <v>3250</v>
      </c>
      <c r="Q1418" s="126"/>
      <c r="R1418" s="83" t="s">
        <v>77</v>
      </c>
      <c r="S1418" s="126"/>
      <c r="T1418" s="124" t="s">
        <v>3251</v>
      </c>
      <c r="U1418" s="166"/>
      <c r="V1418" s="83" t="s">
        <v>79</v>
      </c>
      <c r="W1418" s="166"/>
      <c r="X1418" s="83" t="s">
        <v>80</v>
      </c>
      <c r="Y1418" s="168"/>
      <c r="Z1418" s="119" t="s">
        <v>79</v>
      </c>
      <c r="AA1418" s="168"/>
      <c r="AB1418" s="83" t="s">
        <v>80</v>
      </c>
      <c r="AC1418" s="166"/>
      <c r="AD1418" s="106" t="s">
        <v>3252</v>
      </c>
    </row>
    <row r="1419" spans="1:31" s="171" customFormat="1" ht="51">
      <c r="A1419" s="126"/>
      <c r="B1419" s="106" t="s">
        <v>3480</v>
      </c>
      <c r="C1419" s="172"/>
      <c r="D1419" s="106" t="s">
        <v>621</v>
      </c>
      <c r="E1419" s="126"/>
      <c r="F1419" s="83" t="s">
        <v>254</v>
      </c>
      <c r="G1419" s="126"/>
      <c r="H1419" s="26" t="s">
        <v>116</v>
      </c>
      <c r="I1419" s="126"/>
      <c r="J1419" s="83" t="s">
        <v>306</v>
      </c>
      <c r="K1419" s="126"/>
      <c r="L1419" s="83" t="s">
        <v>737</v>
      </c>
      <c r="M1419" s="126"/>
      <c r="N1419" s="106" t="s">
        <v>96</v>
      </c>
      <c r="O1419" s="172"/>
      <c r="P1419" s="106" t="s">
        <v>3250</v>
      </c>
      <c r="Q1419" s="126"/>
      <c r="R1419" s="83" t="s">
        <v>77</v>
      </c>
      <c r="S1419" s="126"/>
      <c r="T1419" s="124" t="s">
        <v>3251</v>
      </c>
      <c r="U1419" s="166"/>
      <c r="V1419" s="83" t="s">
        <v>79</v>
      </c>
      <c r="W1419" s="166"/>
      <c r="X1419" s="83" t="s">
        <v>80</v>
      </c>
      <c r="Y1419" s="168"/>
      <c r="Z1419" s="119" t="s">
        <v>79</v>
      </c>
      <c r="AA1419" s="168"/>
      <c r="AB1419" s="83" t="s">
        <v>80</v>
      </c>
      <c r="AC1419" s="166"/>
      <c r="AD1419" s="106" t="s">
        <v>3252</v>
      </c>
    </row>
    <row r="1420" spans="1:31" s="177" customFormat="1" ht="51">
      <c r="A1420" s="138"/>
      <c r="B1420" s="146" t="s">
        <v>3481</v>
      </c>
      <c r="C1420" s="173"/>
      <c r="D1420" s="146" t="s">
        <v>3271</v>
      </c>
      <c r="E1420" s="138"/>
      <c r="F1420" s="148" t="s">
        <v>254</v>
      </c>
      <c r="G1420" s="138"/>
      <c r="H1420" s="133" t="s">
        <v>116</v>
      </c>
      <c r="I1420" s="138"/>
      <c r="J1420" s="148" t="s">
        <v>306</v>
      </c>
      <c r="K1420" s="138"/>
      <c r="L1420" s="148" t="s">
        <v>737</v>
      </c>
      <c r="M1420" s="138"/>
      <c r="N1420" s="146" t="s">
        <v>96</v>
      </c>
      <c r="O1420" s="173"/>
      <c r="P1420" s="146" t="s">
        <v>3250</v>
      </c>
      <c r="Q1420" s="138"/>
      <c r="R1420" s="148" t="s">
        <v>77</v>
      </c>
      <c r="S1420" s="138"/>
      <c r="T1420" s="174" t="s">
        <v>3251</v>
      </c>
      <c r="U1420" s="175"/>
      <c r="V1420" s="83" t="s">
        <v>79</v>
      </c>
      <c r="W1420" s="166"/>
      <c r="X1420" s="83" t="s">
        <v>80</v>
      </c>
      <c r="Y1420" s="176"/>
      <c r="Z1420" s="119" t="s">
        <v>79</v>
      </c>
      <c r="AA1420" s="168"/>
      <c r="AB1420" s="83" t="s">
        <v>80</v>
      </c>
      <c r="AC1420" s="175"/>
      <c r="AD1420" s="106" t="s">
        <v>3252</v>
      </c>
      <c r="AE1420" s="171"/>
    </row>
    <row r="1421" spans="1:31" s="171" customFormat="1" ht="51">
      <c r="A1421" s="126"/>
      <c r="B1421" s="106" t="s">
        <v>3482</v>
      </c>
      <c r="C1421" s="172"/>
      <c r="D1421" s="106" t="s">
        <v>362</v>
      </c>
      <c r="E1421" s="126"/>
      <c r="F1421" s="23" t="s">
        <v>363</v>
      </c>
      <c r="G1421" s="126"/>
      <c r="H1421" s="26" t="s">
        <v>116</v>
      </c>
      <c r="I1421" s="126"/>
      <c r="J1421" s="83" t="s">
        <v>306</v>
      </c>
      <c r="K1421" s="126"/>
      <c r="L1421" s="83" t="s">
        <v>737</v>
      </c>
      <c r="M1421" s="126"/>
      <c r="N1421" s="106" t="s">
        <v>96</v>
      </c>
      <c r="O1421" s="172"/>
      <c r="P1421" s="106" t="s">
        <v>3250</v>
      </c>
      <c r="Q1421" s="126"/>
      <c r="R1421" s="83" t="s">
        <v>77</v>
      </c>
      <c r="S1421" s="126"/>
      <c r="T1421" s="124" t="s">
        <v>3251</v>
      </c>
      <c r="U1421" s="166"/>
      <c r="V1421" s="83" t="s">
        <v>79</v>
      </c>
      <c r="W1421" s="166"/>
      <c r="X1421" s="83" t="s">
        <v>80</v>
      </c>
      <c r="Y1421" s="168"/>
      <c r="Z1421" s="119" t="s">
        <v>79</v>
      </c>
      <c r="AA1421" s="168"/>
      <c r="AB1421" s="83" t="s">
        <v>80</v>
      </c>
      <c r="AC1421" s="166"/>
      <c r="AD1421" s="106" t="s">
        <v>3252</v>
      </c>
    </row>
    <row r="1422" spans="1:31" s="171" customFormat="1" ht="51">
      <c r="A1422" s="126"/>
      <c r="B1422" s="106" t="s">
        <v>3483</v>
      </c>
      <c r="C1422" s="172"/>
      <c r="D1422" s="106" t="s">
        <v>370</v>
      </c>
      <c r="E1422" s="126"/>
      <c r="F1422" s="83" t="s">
        <v>370</v>
      </c>
      <c r="G1422" s="126"/>
      <c r="H1422" s="26" t="s">
        <v>116</v>
      </c>
      <c r="I1422" s="126"/>
      <c r="J1422" s="83" t="s">
        <v>306</v>
      </c>
      <c r="K1422" s="126"/>
      <c r="L1422" s="83" t="s">
        <v>737</v>
      </c>
      <c r="M1422" s="126"/>
      <c r="N1422" s="106" t="s">
        <v>96</v>
      </c>
      <c r="O1422" s="172"/>
      <c r="P1422" s="106" t="s">
        <v>3250</v>
      </c>
      <c r="Q1422" s="126"/>
      <c r="R1422" s="83" t="s">
        <v>77</v>
      </c>
      <c r="S1422" s="126"/>
      <c r="T1422" s="124" t="s">
        <v>3251</v>
      </c>
      <c r="U1422" s="166"/>
      <c r="V1422" s="83" t="s">
        <v>79</v>
      </c>
      <c r="W1422" s="166"/>
      <c r="X1422" s="83" t="s">
        <v>80</v>
      </c>
      <c r="Y1422" s="168"/>
      <c r="Z1422" s="119" t="s">
        <v>79</v>
      </c>
      <c r="AA1422" s="168"/>
      <c r="AB1422" s="83" t="s">
        <v>80</v>
      </c>
      <c r="AC1422" s="166"/>
      <c r="AD1422" s="106" t="s">
        <v>3252</v>
      </c>
      <c r="AE1422" s="177"/>
    </row>
    <row r="1423" spans="1:31" s="171" customFormat="1" ht="51">
      <c r="A1423" s="126"/>
      <c r="B1423" s="106" t="s">
        <v>3484</v>
      </c>
      <c r="C1423" s="172"/>
      <c r="D1423" s="106" t="s">
        <v>71</v>
      </c>
      <c r="E1423" s="126"/>
      <c r="F1423" s="83" t="s">
        <v>71</v>
      </c>
      <c r="G1423" s="126"/>
      <c r="H1423" s="26" t="s">
        <v>116</v>
      </c>
      <c r="I1423" s="126"/>
      <c r="J1423" s="83" t="s">
        <v>306</v>
      </c>
      <c r="K1423" s="126"/>
      <c r="L1423" s="83" t="s">
        <v>737</v>
      </c>
      <c r="M1423" s="126"/>
      <c r="N1423" s="106" t="s">
        <v>96</v>
      </c>
      <c r="O1423" s="172"/>
      <c r="P1423" s="106" t="s">
        <v>3250</v>
      </c>
      <c r="Q1423" s="126"/>
      <c r="R1423" s="83" t="s">
        <v>77</v>
      </c>
      <c r="S1423" s="126"/>
      <c r="T1423" s="124" t="s">
        <v>3251</v>
      </c>
      <c r="U1423" s="166"/>
      <c r="V1423" s="83" t="s">
        <v>79</v>
      </c>
      <c r="W1423" s="166"/>
      <c r="X1423" s="83" t="s">
        <v>80</v>
      </c>
      <c r="Y1423" s="168"/>
      <c r="Z1423" s="119" t="s">
        <v>79</v>
      </c>
      <c r="AA1423" s="168"/>
      <c r="AB1423" s="83" t="s">
        <v>80</v>
      </c>
      <c r="AC1423" s="166"/>
      <c r="AD1423" s="106" t="s">
        <v>3252</v>
      </c>
    </row>
    <row r="1424" spans="1:31" s="171" customFormat="1" ht="51">
      <c r="A1424" s="126"/>
      <c r="B1424" s="106" t="s">
        <v>3485</v>
      </c>
      <c r="C1424" s="172"/>
      <c r="D1424" s="106" t="s">
        <v>1434</v>
      </c>
      <c r="E1424" s="126"/>
      <c r="F1424" s="83" t="s">
        <v>254</v>
      </c>
      <c r="G1424" s="126"/>
      <c r="H1424" s="26" t="s">
        <v>116</v>
      </c>
      <c r="I1424" s="126"/>
      <c r="J1424" s="83" t="s">
        <v>306</v>
      </c>
      <c r="K1424" s="126"/>
      <c r="L1424" s="83" t="s">
        <v>737</v>
      </c>
      <c r="M1424" s="126"/>
      <c r="N1424" s="106" t="s">
        <v>96</v>
      </c>
      <c r="O1424" s="172"/>
      <c r="P1424" s="106" t="s">
        <v>3250</v>
      </c>
      <c r="Q1424" s="126"/>
      <c r="R1424" s="83" t="s">
        <v>77</v>
      </c>
      <c r="S1424" s="126"/>
      <c r="T1424" s="124" t="s">
        <v>3251</v>
      </c>
      <c r="U1424" s="166"/>
      <c r="V1424" s="83" t="s">
        <v>79</v>
      </c>
      <c r="W1424" s="166"/>
      <c r="X1424" s="83" t="s">
        <v>80</v>
      </c>
      <c r="Y1424" s="168"/>
      <c r="Z1424" s="119" t="s">
        <v>79</v>
      </c>
      <c r="AA1424" s="168"/>
      <c r="AB1424" s="83" t="s">
        <v>80</v>
      </c>
      <c r="AC1424" s="166"/>
      <c r="AD1424" s="106" t="s">
        <v>3252</v>
      </c>
    </row>
    <row r="1425" spans="1:31" s="171" customFormat="1" ht="51">
      <c r="A1425" s="126"/>
      <c r="B1425" s="106" t="s">
        <v>3486</v>
      </c>
      <c r="C1425" s="172"/>
      <c r="D1425" s="106" t="s">
        <v>71</v>
      </c>
      <c r="E1425" s="126"/>
      <c r="F1425" s="83" t="s">
        <v>71</v>
      </c>
      <c r="G1425" s="126"/>
      <c r="H1425" s="26" t="s">
        <v>116</v>
      </c>
      <c r="I1425" s="126"/>
      <c r="J1425" s="83" t="s">
        <v>306</v>
      </c>
      <c r="K1425" s="126"/>
      <c r="L1425" s="83" t="s">
        <v>737</v>
      </c>
      <c r="M1425" s="126"/>
      <c r="N1425" s="106" t="s">
        <v>96</v>
      </c>
      <c r="O1425" s="172"/>
      <c r="P1425" s="106" t="s">
        <v>3250</v>
      </c>
      <c r="Q1425" s="126"/>
      <c r="R1425" s="83" t="s">
        <v>77</v>
      </c>
      <c r="S1425" s="126"/>
      <c r="T1425" s="124" t="s">
        <v>3251</v>
      </c>
      <c r="U1425" s="166"/>
      <c r="V1425" s="83" t="s">
        <v>79</v>
      </c>
      <c r="W1425" s="166"/>
      <c r="X1425" s="83" t="s">
        <v>80</v>
      </c>
      <c r="Y1425" s="168"/>
      <c r="Z1425" s="119" t="s">
        <v>79</v>
      </c>
      <c r="AA1425" s="168"/>
      <c r="AB1425" s="83" t="s">
        <v>80</v>
      </c>
      <c r="AC1425" s="166"/>
      <c r="AD1425" s="106" t="s">
        <v>3252</v>
      </c>
    </row>
    <row r="1426" spans="1:31" s="171" customFormat="1" ht="51">
      <c r="A1426" s="126"/>
      <c r="B1426" s="106" t="s">
        <v>3487</v>
      </c>
      <c r="C1426" s="172"/>
      <c r="D1426" s="106" t="s">
        <v>702</v>
      </c>
      <c r="E1426" s="126"/>
      <c r="F1426" s="83" t="s">
        <v>370</v>
      </c>
      <c r="G1426" s="126"/>
      <c r="H1426" s="26" t="s">
        <v>116</v>
      </c>
      <c r="I1426" s="126"/>
      <c r="J1426" s="83" t="s">
        <v>306</v>
      </c>
      <c r="K1426" s="126"/>
      <c r="L1426" s="83" t="s">
        <v>737</v>
      </c>
      <c r="M1426" s="126"/>
      <c r="N1426" s="106" t="s">
        <v>96</v>
      </c>
      <c r="O1426" s="172"/>
      <c r="P1426" s="106" t="s">
        <v>3250</v>
      </c>
      <c r="Q1426" s="126"/>
      <c r="R1426" s="83" t="s">
        <v>77</v>
      </c>
      <c r="S1426" s="126"/>
      <c r="T1426" s="124" t="s">
        <v>3251</v>
      </c>
      <c r="U1426" s="166"/>
      <c r="V1426" s="83" t="s">
        <v>79</v>
      </c>
      <c r="W1426" s="166"/>
      <c r="X1426" s="83" t="s">
        <v>80</v>
      </c>
      <c r="Y1426" s="168"/>
      <c r="Z1426" s="119" t="s">
        <v>79</v>
      </c>
      <c r="AA1426" s="168"/>
      <c r="AB1426" s="83" t="s">
        <v>80</v>
      </c>
      <c r="AC1426" s="166"/>
      <c r="AD1426" s="106" t="s">
        <v>3252</v>
      </c>
    </row>
    <row r="1427" spans="1:31" s="171" customFormat="1" ht="51">
      <c r="A1427" s="126"/>
      <c r="B1427" s="106" t="s">
        <v>3488</v>
      </c>
      <c r="C1427" s="172"/>
      <c r="D1427" s="106" t="s">
        <v>3261</v>
      </c>
      <c r="E1427" s="126"/>
      <c r="F1427" s="83" t="s">
        <v>254</v>
      </c>
      <c r="G1427" s="126"/>
      <c r="H1427" s="26" t="s">
        <v>116</v>
      </c>
      <c r="I1427" s="126"/>
      <c r="J1427" s="83" t="s">
        <v>306</v>
      </c>
      <c r="K1427" s="126"/>
      <c r="L1427" s="83" t="s">
        <v>737</v>
      </c>
      <c r="M1427" s="126"/>
      <c r="N1427" s="106" t="s">
        <v>96</v>
      </c>
      <c r="O1427" s="172"/>
      <c r="P1427" s="106" t="s">
        <v>3250</v>
      </c>
      <c r="Q1427" s="126"/>
      <c r="R1427" s="83" t="s">
        <v>77</v>
      </c>
      <c r="S1427" s="126"/>
      <c r="T1427" s="124" t="s">
        <v>3251</v>
      </c>
      <c r="U1427" s="166"/>
      <c r="V1427" s="83" t="s">
        <v>79</v>
      </c>
      <c r="W1427" s="166"/>
      <c r="X1427" s="83" t="s">
        <v>80</v>
      </c>
      <c r="Y1427" s="168"/>
      <c r="Z1427" s="119" t="s">
        <v>79</v>
      </c>
      <c r="AA1427" s="168"/>
      <c r="AB1427" s="83" t="s">
        <v>80</v>
      </c>
      <c r="AC1427" s="166"/>
      <c r="AD1427" s="106" t="s">
        <v>3252</v>
      </c>
    </row>
    <row r="1428" spans="1:31" s="171" customFormat="1" ht="51">
      <c r="A1428" s="126"/>
      <c r="B1428" s="106" t="s">
        <v>3489</v>
      </c>
      <c r="C1428" s="172"/>
      <c r="D1428" s="106" t="s">
        <v>1323</v>
      </c>
      <c r="E1428" s="126"/>
      <c r="F1428" s="83" t="s">
        <v>254</v>
      </c>
      <c r="G1428" s="126"/>
      <c r="H1428" s="26" t="s">
        <v>116</v>
      </c>
      <c r="I1428" s="126"/>
      <c r="J1428" s="83" t="s">
        <v>306</v>
      </c>
      <c r="K1428" s="126"/>
      <c r="L1428" s="83" t="s">
        <v>737</v>
      </c>
      <c r="M1428" s="126"/>
      <c r="N1428" s="106" t="s">
        <v>96</v>
      </c>
      <c r="O1428" s="172"/>
      <c r="P1428" s="106" t="s">
        <v>3250</v>
      </c>
      <c r="Q1428" s="126"/>
      <c r="R1428" s="83" t="s">
        <v>77</v>
      </c>
      <c r="S1428" s="126"/>
      <c r="T1428" s="124" t="s">
        <v>3251</v>
      </c>
      <c r="U1428" s="166"/>
      <c r="V1428" s="83" t="s">
        <v>79</v>
      </c>
      <c r="W1428" s="166"/>
      <c r="X1428" s="83" t="s">
        <v>80</v>
      </c>
      <c r="Y1428" s="168"/>
      <c r="Z1428" s="119" t="s">
        <v>79</v>
      </c>
      <c r="AA1428" s="168"/>
      <c r="AB1428" s="83" t="s">
        <v>80</v>
      </c>
      <c r="AC1428" s="166"/>
      <c r="AD1428" s="106" t="s">
        <v>3252</v>
      </c>
    </row>
    <row r="1429" spans="1:31" s="177" customFormat="1" ht="51">
      <c r="A1429" s="138"/>
      <c r="B1429" s="146" t="s">
        <v>3490</v>
      </c>
      <c r="C1429" s="173"/>
      <c r="D1429" s="146" t="s">
        <v>702</v>
      </c>
      <c r="E1429" s="138"/>
      <c r="F1429" s="148" t="s">
        <v>370</v>
      </c>
      <c r="G1429" s="138"/>
      <c r="H1429" s="133" t="s">
        <v>116</v>
      </c>
      <c r="I1429" s="138"/>
      <c r="J1429" s="148" t="s">
        <v>306</v>
      </c>
      <c r="K1429" s="138"/>
      <c r="L1429" s="148" t="s">
        <v>737</v>
      </c>
      <c r="M1429" s="138"/>
      <c r="N1429" s="146" t="s">
        <v>96</v>
      </c>
      <c r="O1429" s="173"/>
      <c r="P1429" s="146" t="s">
        <v>3250</v>
      </c>
      <c r="Q1429" s="138"/>
      <c r="R1429" s="148" t="s">
        <v>77</v>
      </c>
      <c r="S1429" s="138"/>
      <c r="T1429" s="174" t="s">
        <v>3251</v>
      </c>
      <c r="U1429" s="175"/>
      <c r="V1429" s="83" t="s">
        <v>79</v>
      </c>
      <c r="W1429" s="166"/>
      <c r="X1429" s="83" t="s">
        <v>80</v>
      </c>
      <c r="Y1429" s="176"/>
      <c r="Z1429" s="119" t="s">
        <v>79</v>
      </c>
      <c r="AA1429" s="168"/>
      <c r="AB1429" s="83" t="s">
        <v>80</v>
      </c>
      <c r="AC1429" s="175"/>
      <c r="AD1429" s="106" t="s">
        <v>3252</v>
      </c>
      <c r="AE1429" s="171"/>
    </row>
    <row r="1430" spans="1:31" s="171" customFormat="1" ht="51">
      <c r="A1430" s="126"/>
      <c r="B1430" s="106" t="s">
        <v>3491</v>
      </c>
      <c r="C1430" s="172"/>
      <c r="D1430" s="106" t="s">
        <v>1434</v>
      </c>
      <c r="E1430" s="126"/>
      <c r="F1430" s="83" t="s">
        <v>254</v>
      </c>
      <c r="G1430" s="126"/>
      <c r="H1430" s="26" t="s">
        <v>116</v>
      </c>
      <c r="I1430" s="126"/>
      <c r="J1430" s="83" t="s">
        <v>306</v>
      </c>
      <c r="K1430" s="126"/>
      <c r="L1430" s="83" t="s">
        <v>737</v>
      </c>
      <c r="M1430" s="126"/>
      <c r="N1430" s="106" t="s">
        <v>96</v>
      </c>
      <c r="O1430" s="172"/>
      <c r="P1430" s="106" t="s">
        <v>3250</v>
      </c>
      <c r="Q1430" s="126"/>
      <c r="R1430" s="83" t="s">
        <v>77</v>
      </c>
      <c r="S1430" s="126"/>
      <c r="T1430" s="124" t="s">
        <v>3251</v>
      </c>
      <c r="U1430" s="166"/>
      <c r="V1430" s="83" t="s">
        <v>79</v>
      </c>
      <c r="W1430" s="166"/>
      <c r="X1430" s="83" t="s">
        <v>80</v>
      </c>
      <c r="Y1430" s="168"/>
      <c r="Z1430" s="119" t="s">
        <v>79</v>
      </c>
      <c r="AA1430" s="168"/>
      <c r="AB1430" s="83" t="s">
        <v>80</v>
      </c>
      <c r="AC1430" s="166"/>
      <c r="AD1430" s="106" t="s">
        <v>3252</v>
      </c>
    </row>
    <row r="1431" spans="1:31" s="171" customFormat="1" ht="51">
      <c r="A1431" s="126"/>
      <c r="B1431" s="106" t="s">
        <v>3492</v>
      </c>
      <c r="C1431" s="172"/>
      <c r="D1431" s="106" t="s">
        <v>71</v>
      </c>
      <c r="E1431" s="126"/>
      <c r="F1431" s="83" t="s">
        <v>71</v>
      </c>
      <c r="G1431" s="126"/>
      <c r="H1431" s="26" t="s">
        <v>116</v>
      </c>
      <c r="I1431" s="126"/>
      <c r="J1431" s="83" t="s">
        <v>306</v>
      </c>
      <c r="K1431" s="126"/>
      <c r="L1431" s="83" t="s">
        <v>737</v>
      </c>
      <c r="M1431" s="126"/>
      <c r="N1431" s="106" t="s">
        <v>96</v>
      </c>
      <c r="O1431" s="172"/>
      <c r="P1431" s="106" t="s">
        <v>3250</v>
      </c>
      <c r="Q1431" s="126"/>
      <c r="R1431" s="83" t="s">
        <v>77</v>
      </c>
      <c r="S1431" s="126"/>
      <c r="T1431" s="124" t="s">
        <v>3251</v>
      </c>
      <c r="U1431" s="166"/>
      <c r="V1431" s="83" t="s">
        <v>79</v>
      </c>
      <c r="W1431" s="166"/>
      <c r="X1431" s="83" t="s">
        <v>80</v>
      </c>
      <c r="Y1431" s="168"/>
      <c r="Z1431" s="119" t="s">
        <v>79</v>
      </c>
      <c r="AA1431" s="168"/>
      <c r="AB1431" s="83" t="s">
        <v>80</v>
      </c>
      <c r="AC1431" s="166"/>
      <c r="AD1431" s="106" t="s">
        <v>3252</v>
      </c>
      <c r="AE1431" s="177"/>
    </row>
    <row r="1432" spans="1:31" s="171" customFormat="1" ht="51">
      <c r="A1432" s="126"/>
      <c r="B1432" s="106" t="s">
        <v>3493</v>
      </c>
      <c r="C1432" s="172"/>
      <c r="D1432" s="106" t="s">
        <v>346</v>
      </c>
      <c r="E1432" s="126"/>
      <c r="F1432" s="83" t="s">
        <v>254</v>
      </c>
      <c r="G1432" s="126"/>
      <c r="H1432" s="26" t="s">
        <v>116</v>
      </c>
      <c r="I1432" s="126"/>
      <c r="J1432" s="83" t="s">
        <v>306</v>
      </c>
      <c r="K1432" s="126"/>
      <c r="L1432" s="83" t="s">
        <v>737</v>
      </c>
      <c r="M1432" s="126"/>
      <c r="N1432" s="106" t="s">
        <v>96</v>
      </c>
      <c r="O1432" s="172"/>
      <c r="P1432" s="106" t="s">
        <v>3250</v>
      </c>
      <c r="Q1432" s="126"/>
      <c r="R1432" s="83" t="s">
        <v>77</v>
      </c>
      <c r="S1432" s="126"/>
      <c r="T1432" s="124" t="s">
        <v>3251</v>
      </c>
      <c r="U1432" s="166"/>
      <c r="V1432" s="83" t="s">
        <v>79</v>
      </c>
      <c r="W1432" s="166"/>
      <c r="X1432" s="83" t="s">
        <v>80</v>
      </c>
      <c r="Y1432" s="168"/>
      <c r="Z1432" s="119" t="s">
        <v>79</v>
      </c>
      <c r="AA1432" s="168"/>
      <c r="AB1432" s="83" t="s">
        <v>80</v>
      </c>
      <c r="AC1432" s="166"/>
      <c r="AD1432" s="106" t="s">
        <v>3252</v>
      </c>
    </row>
    <row r="1433" spans="1:31" s="171" customFormat="1" ht="51">
      <c r="A1433" s="126"/>
      <c r="B1433" s="106" t="s">
        <v>3494</v>
      </c>
      <c r="C1433" s="172"/>
      <c r="D1433" s="106" t="s">
        <v>71</v>
      </c>
      <c r="E1433" s="126"/>
      <c r="F1433" s="83" t="s">
        <v>71</v>
      </c>
      <c r="G1433" s="126"/>
      <c r="H1433" s="26" t="s">
        <v>116</v>
      </c>
      <c r="I1433" s="126"/>
      <c r="J1433" s="83" t="s">
        <v>306</v>
      </c>
      <c r="K1433" s="126"/>
      <c r="L1433" s="83" t="s">
        <v>737</v>
      </c>
      <c r="M1433" s="126"/>
      <c r="N1433" s="106" t="s">
        <v>96</v>
      </c>
      <c r="O1433" s="172"/>
      <c r="P1433" s="106" t="s">
        <v>3250</v>
      </c>
      <c r="Q1433" s="126"/>
      <c r="R1433" s="83" t="s">
        <v>77</v>
      </c>
      <c r="S1433" s="126"/>
      <c r="T1433" s="124" t="s">
        <v>3251</v>
      </c>
      <c r="U1433" s="166"/>
      <c r="V1433" s="83" t="s">
        <v>79</v>
      </c>
      <c r="W1433" s="166"/>
      <c r="X1433" s="83" t="s">
        <v>80</v>
      </c>
      <c r="Y1433" s="168"/>
      <c r="Z1433" s="119" t="s">
        <v>79</v>
      </c>
      <c r="AA1433" s="168"/>
      <c r="AB1433" s="83" t="s">
        <v>80</v>
      </c>
      <c r="AC1433" s="166"/>
      <c r="AD1433" s="106" t="s">
        <v>3252</v>
      </c>
    </row>
    <row r="1434" spans="1:31" s="171" customFormat="1" ht="51">
      <c r="A1434" s="126"/>
      <c r="B1434" s="106" t="s">
        <v>3495</v>
      </c>
      <c r="C1434" s="172"/>
      <c r="D1434" s="106" t="s">
        <v>702</v>
      </c>
      <c r="E1434" s="126"/>
      <c r="F1434" s="83" t="s">
        <v>370</v>
      </c>
      <c r="G1434" s="126"/>
      <c r="H1434" s="26" t="s">
        <v>116</v>
      </c>
      <c r="I1434" s="126"/>
      <c r="J1434" s="83" t="s">
        <v>306</v>
      </c>
      <c r="K1434" s="126"/>
      <c r="L1434" s="83" t="s">
        <v>737</v>
      </c>
      <c r="M1434" s="126"/>
      <c r="N1434" s="106" t="s">
        <v>96</v>
      </c>
      <c r="O1434" s="172"/>
      <c r="P1434" s="106" t="s">
        <v>3250</v>
      </c>
      <c r="Q1434" s="126"/>
      <c r="R1434" s="83" t="s">
        <v>77</v>
      </c>
      <c r="S1434" s="126"/>
      <c r="T1434" s="124" t="s">
        <v>3251</v>
      </c>
      <c r="U1434" s="166"/>
      <c r="V1434" s="83" t="s">
        <v>79</v>
      </c>
      <c r="W1434" s="166"/>
      <c r="X1434" s="83" t="s">
        <v>80</v>
      </c>
      <c r="Y1434" s="168"/>
      <c r="Z1434" s="119" t="s">
        <v>79</v>
      </c>
      <c r="AA1434" s="168"/>
      <c r="AB1434" s="83" t="s">
        <v>80</v>
      </c>
      <c r="AC1434" s="166"/>
      <c r="AD1434" s="106" t="s">
        <v>3252</v>
      </c>
    </row>
    <row r="1435" spans="1:31" s="171" customFormat="1" ht="51">
      <c r="A1435" s="126"/>
      <c r="B1435" s="106" t="s">
        <v>3496</v>
      </c>
      <c r="C1435" s="172"/>
      <c r="D1435" s="106" t="s">
        <v>71</v>
      </c>
      <c r="E1435" s="126"/>
      <c r="F1435" s="83" t="s">
        <v>71</v>
      </c>
      <c r="G1435" s="126"/>
      <c r="H1435" s="26" t="s">
        <v>116</v>
      </c>
      <c r="I1435" s="126"/>
      <c r="J1435" s="83" t="s">
        <v>306</v>
      </c>
      <c r="K1435" s="126"/>
      <c r="L1435" s="83" t="s">
        <v>737</v>
      </c>
      <c r="M1435" s="126"/>
      <c r="N1435" s="106" t="s">
        <v>96</v>
      </c>
      <c r="O1435" s="172"/>
      <c r="P1435" s="106" t="s">
        <v>3250</v>
      </c>
      <c r="Q1435" s="126"/>
      <c r="R1435" s="83" t="s">
        <v>77</v>
      </c>
      <c r="S1435" s="126"/>
      <c r="T1435" s="124" t="s">
        <v>3251</v>
      </c>
      <c r="U1435" s="166"/>
      <c r="V1435" s="83" t="s">
        <v>79</v>
      </c>
      <c r="W1435" s="166"/>
      <c r="X1435" s="83" t="s">
        <v>80</v>
      </c>
      <c r="Y1435" s="168"/>
      <c r="Z1435" s="119" t="s">
        <v>79</v>
      </c>
      <c r="AA1435" s="168"/>
      <c r="AB1435" s="83" t="s">
        <v>80</v>
      </c>
      <c r="AC1435" s="166"/>
      <c r="AD1435" s="106" t="s">
        <v>3252</v>
      </c>
    </row>
    <row r="1436" spans="1:31" s="171" customFormat="1" ht="51">
      <c r="A1436" s="126"/>
      <c r="B1436" s="106" t="s">
        <v>3497</v>
      </c>
      <c r="C1436" s="172"/>
      <c r="D1436" s="106" t="s">
        <v>346</v>
      </c>
      <c r="E1436" s="126"/>
      <c r="F1436" s="83" t="s">
        <v>254</v>
      </c>
      <c r="G1436" s="126"/>
      <c r="H1436" s="26" t="s">
        <v>116</v>
      </c>
      <c r="I1436" s="126"/>
      <c r="J1436" s="83" t="s">
        <v>306</v>
      </c>
      <c r="K1436" s="126"/>
      <c r="L1436" s="83" t="s">
        <v>737</v>
      </c>
      <c r="M1436" s="126"/>
      <c r="N1436" s="106" t="s">
        <v>96</v>
      </c>
      <c r="O1436" s="172"/>
      <c r="P1436" s="106" t="s">
        <v>3250</v>
      </c>
      <c r="Q1436" s="126"/>
      <c r="R1436" s="83" t="s">
        <v>77</v>
      </c>
      <c r="S1436" s="126"/>
      <c r="T1436" s="124" t="s">
        <v>3251</v>
      </c>
      <c r="U1436" s="166"/>
      <c r="V1436" s="83" t="s">
        <v>79</v>
      </c>
      <c r="W1436" s="166"/>
      <c r="X1436" s="83" t="s">
        <v>80</v>
      </c>
      <c r="Y1436" s="168"/>
      <c r="Z1436" s="119" t="s">
        <v>79</v>
      </c>
      <c r="AA1436" s="168"/>
      <c r="AB1436" s="83" t="s">
        <v>80</v>
      </c>
      <c r="AC1436" s="166"/>
      <c r="AD1436" s="106" t="s">
        <v>3252</v>
      </c>
    </row>
    <row r="1437" spans="1:31" s="171" customFormat="1" ht="51">
      <c r="A1437" s="126"/>
      <c r="B1437" s="106" t="s">
        <v>3498</v>
      </c>
      <c r="C1437" s="172"/>
      <c r="D1437" s="106" t="s">
        <v>3318</v>
      </c>
      <c r="E1437" s="126"/>
      <c r="F1437" s="83" t="s">
        <v>254</v>
      </c>
      <c r="G1437" s="126"/>
      <c r="H1437" s="26" t="s">
        <v>116</v>
      </c>
      <c r="I1437" s="126"/>
      <c r="J1437" s="83" t="s">
        <v>306</v>
      </c>
      <c r="K1437" s="126"/>
      <c r="L1437" s="83" t="s">
        <v>737</v>
      </c>
      <c r="M1437" s="126"/>
      <c r="N1437" s="106" t="s">
        <v>96</v>
      </c>
      <c r="O1437" s="172"/>
      <c r="P1437" s="106" t="s">
        <v>3250</v>
      </c>
      <c r="Q1437" s="126"/>
      <c r="R1437" s="83" t="s">
        <v>77</v>
      </c>
      <c r="S1437" s="126"/>
      <c r="T1437" s="124" t="s">
        <v>3251</v>
      </c>
      <c r="U1437" s="166"/>
      <c r="V1437" s="83" t="s">
        <v>79</v>
      </c>
      <c r="W1437" s="166"/>
      <c r="X1437" s="83" t="s">
        <v>80</v>
      </c>
      <c r="Y1437" s="168"/>
      <c r="Z1437" s="119" t="s">
        <v>79</v>
      </c>
      <c r="AA1437" s="168"/>
      <c r="AB1437" s="83" t="s">
        <v>80</v>
      </c>
      <c r="AC1437" s="166"/>
      <c r="AD1437" s="106" t="s">
        <v>3252</v>
      </c>
    </row>
    <row r="1438" spans="1:31" s="171" customFormat="1" ht="51">
      <c r="A1438" s="126"/>
      <c r="B1438" s="106" t="s">
        <v>3499</v>
      </c>
      <c r="C1438" s="172"/>
      <c r="D1438" s="106" t="s">
        <v>71</v>
      </c>
      <c r="E1438" s="126"/>
      <c r="F1438" s="83" t="s">
        <v>71</v>
      </c>
      <c r="G1438" s="126"/>
      <c r="H1438" s="26" t="s">
        <v>116</v>
      </c>
      <c r="I1438" s="126"/>
      <c r="J1438" s="83" t="s">
        <v>306</v>
      </c>
      <c r="K1438" s="126"/>
      <c r="L1438" s="83" t="s">
        <v>737</v>
      </c>
      <c r="M1438" s="126"/>
      <c r="N1438" s="106" t="s">
        <v>96</v>
      </c>
      <c r="O1438" s="172"/>
      <c r="P1438" s="106" t="s">
        <v>3250</v>
      </c>
      <c r="Q1438" s="126"/>
      <c r="R1438" s="83" t="s">
        <v>77</v>
      </c>
      <c r="S1438" s="126"/>
      <c r="T1438" s="124" t="s">
        <v>3251</v>
      </c>
      <c r="U1438" s="166"/>
      <c r="V1438" s="83" t="s">
        <v>79</v>
      </c>
      <c r="W1438" s="166"/>
      <c r="X1438" s="83" t="s">
        <v>80</v>
      </c>
      <c r="Y1438" s="168"/>
      <c r="Z1438" s="119" t="s">
        <v>79</v>
      </c>
      <c r="AA1438" s="168"/>
      <c r="AB1438" s="83" t="s">
        <v>80</v>
      </c>
      <c r="AC1438" s="166"/>
      <c r="AD1438" s="106" t="s">
        <v>3252</v>
      </c>
    </row>
    <row r="1439" spans="1:31" s="171" customFormat="1" ht="51">
      <c r="A1439" s="126"/>
      <c r="B1439" s="106" t="s">
        <v>3500</v>
      </c>
      <c r="C1439" s="172"/>
      <c r="D1439" s="106" t="s">
        <v>71</v>
      </c>
      <c r="E1439" s="126"/>
      <c r="F1439" s="83" t="s">
        <v>71</v>
      </c>
      <c r="G1439" s="126"/>
      <c r="H1439" s="26" t="s">
        <v>116</v>
      </c>
      <c r="I1439" s="126"/>
      <c r="J1439" s="83" t="s">
        <v>306</v>
      </c>
      <c r="K1439" s="126"/>
      <c r="L1439" s="83" t="s">
        <v>737</v>
      </c>
      <c r="M1439" s="126"/>
      <c r="N1439" s="106" t="s">
        <v>96</v>
      </c>
      <c r="O1439" s="172"/>
      <c r="P1439" s="106" t="s">
        <v>3250</v>
      </c>
      <c r="Q1439" s="126"/>
      <c r="R1439" s="83" t="s">
        <v>77</v>
      </c>
      <c r="S1439" s="126"/>
      <c r="T1439" s="124" t="s">
        <v>3251</v>
      </c>
      <c r="U1439" s="166"/>
      <c r="V1439" s="83" t="s">
        <v>79</v>
      </c>
      <c r="W1439" s="166"/>
      <c r="X1439" s="83" t="s">
        <v>80</v>
      </c>
      <c r="Y1439" s="168"/>
      <c r="Z1439" s="119" t="s">
        <v>79</v>
      </c>
      <c r="AA1439" s="168"/>
      <c r="AB1439" s="83" t="s">
        <v>80</v>
      </c>
      <c r="AC1439" s="166"/>
      <c r="AD1439" s="106" t="s">
        <v>3252</v>
      </c>
    </row>
    <row r="1440" spans="1:31" s="171" customFormat="1" ht="51">
      <c r="A1440" s="126"/>
      <c r="B1440" s="106" t="s">
        <v>3501</v>
      </c>
      <c r="C1440" s="172"/>
      <c r="D1440" s="106" t="s">
        <v>1434</v>
      </c>
      <c r="E1440" s="126"/>
      <c r="F1440" s="83" t="s">
        <v>254</v>
      </c>
      <c r="G1440" s="126"/>
      <c r="H1440" s="26" t="s">
        <v>116</v>
      </c>
      <c r="I1440" s="126"/>
      <c r="J1440" s="83" t="s">
        <v>306</v>
      </c>
      <c r="K1440" s="126"/>
      <c r="L1440" s="83" t="s">
        <v>737</v>
      </c>
      <c r="M1440" s="126"/>
      <c r="N1440" s="106" t="s">
        <v>96</v>
      </c>
      <c r="O1440" s="172"/>
      <c r="P1440" s="106" t="s">
        <v>3250</v>
      </c>
      <c r="Q1440" s="126"/>
      <c r="R1440" s="83" t="s">
        <v>77</v>
      </c>
      <c r="S1440" s="126"/>
      <c r="T1440" s="124" t="s">
        <v>3251</v>
      </c>
      <c r="U1440" s="166"/>
      <c r="V1440" s="83" t="s">
        <v>79</v>
      </c>
      <c r="W1440" s="166"/>
      <c r="X1440" s="83" t="s">
        <v>80</v>
      </c>
      <c r="Y1440" s="168"/>
      <c r="Z1440" s="119" t="s">
        <v>79</v>
      </c>
      <c r="AA1440" s="168"/>
      <c r="AB1440" s="83" t="s">
        <v>80</v>
      </c>
      <c r="AC1440" s="166"/>
      <c r="AD1440" s="106" t="s">
        <v>3252</v>
      </c>
    </row>
    <row r="1441" spans="1:30" s="171" customFormat="1" ht="51">
      <c r="A1441" s="126"/>
      <c r="B1441" s="106" t="s">
        <v>3502</v>
      </c>
      <c r="C1441" s="172"/>
      <c r="D1441" s="106" t="s">
        <v>1434</v>
      </c>
      <c r="E1441" s="126"/>
      <c r="F1441" s="83" t="s">
        <v>254</v>
      </c>
      <c r="G1441" s="126"/>
      <c r="H1441" s="26" t="s">
        <v>116</v>
      </c>
      <c r="I1441" s="126"/>
      <c r="J1441" s="83" t="s">
        <v>306</v>
      </c>
      <c r="K1441" s="126"/>
      <c r="L1441" s="83" t="s">
        <v>737</v>
      </c>
      <c r="M1441" s="126"/>
      <c r="N1441" s="106" t="s">
        <v>96</v>
      </c>
      <c r="O1441" s="172"/>
      <c r="P1441" s="106" t="s">
        <v>3250</v>
      </c>
      <c r="Q1441" s="126"/>
      <c r="R1441" s="83" t="s">
        <v>77</v>
      </c>
      <c r="S1441" s="126"/>
      <c r="T1441" s="124" t="s">
        <v>3251</v>
      </c>
      <c r="U1441" s="166"/>
      <c r="V1441" s="83" t="s">
        <v>79</v>
      </c>
      <c r="W1441" s="166"/>
      <c r="X1441" s="83" t="s">
        <v>80</v>
      </c>
      <c r="Y1441" s="168"/>
      <c r="Z1441" s="119" t="s">
        <v>79</v>
      </c>
      <c r="AA1441" s="168"/>
      <c r="AB1441" s="83" t="s">
        <v>80</v>
      </c>
      <c r="AC1441" s="166"/>
      <c r="AD1441" s="106" t="s">
        <v>3252</v>
      </c>
    </row>
    <row r="1442" spans="1:30" s="171" customFormat="1" ht="51">
      <c r="A1442" s="126"/>
      <c r="B1442" s="106" t="s">
        <v>3503</v>
      </c>
      <c r="C1442" s="172"/>
      <c r="D1442" s="106" t="s">
        <v>1434</v>
      </c>
      <c r="E1442" s="126"/>
      <c r="F1442" s="83" t="s">
        <v>254</v>
      </c>
      <c r="G1442" s="126"/>
      <c r="H1442" s="26" t="s">
        <v>116</v>
      </c>
      <c r="I1442" s="126"/>
      <c r="J1442" s="83" t="s">
        <v>306</v>
      </c>
      <c r="K1442" s="126"/>
      <c r="L1442" s="83" t="s">
        <v>737</v>
      </c>
      <c r="M1442" s="126"/>
      <c r="N1442" s="106" t="s">
        <v>96</v>
      </c>
      <c r="O1442" s="172"/>
      <c r="P1442" s="106" t="s">
        <v>3250</v>
      </c>
      <c r="Q1442" s="126"/>
      <c r="R1442" s="83" t="s">
        <v>77</v>
      </c>
      <c r="S1442" s="126"/>
      <c r="T1442" s="124" t="s">
        <v>3251</v>
      </c>
      <c r="U1442" s="166"/>
      <c r="V1442" s="83" t="s">
        <v>79</v>
      </c>
      <c r="W1442" s="166"/>
      <c r="X1442" s="83" t="s">
        <v>80</v>
      </c>
      <c r="Y1442" s="168"/>
      <c r="Z1442" s="119" t="s">
        <v>79</v>
      </c>
      <c r="AA1442" s="168"/>
      <c r="AB1442" s="83" t="s">
        <v>80</v>
      </c>
      <c r="AC1442" s="166"/>
      <c r="AD1442" s="106" t="s">
        <v>3252</v>
      </c>
    </row>
    <row r="1443" spans="1:30" s="171" customFormat="1" ht="51">
      <c r="A1443" s="126"/>
      <c r="B1443" s="106" t="s">
        <v>3504</v>
      </c>
      <c r="C1443" s="172"/>
      <c r="D1443" s="106" t="s">
        <v>3261</v>
      </c>
      <c r="E1443" s="126"/>
      <c r="F1443" s="83" t="s">
        <v>254</v>
      </c>
      <c r="G1443" s="126"/>
      <c r="H1443" s="26" t="s">
        <v>116</v>
      </c>
      <c r="I1443" s="126"/>
      <c r="J1443" s="83" t="s">
        <v>306</v>
      </c>
      <c r="K1443" s="126"/>
      <c r="L1443" s="83" t="s">
        <v>737</v>
      </c>
      <c r="M1443" s="126"/>
      <c r="N1443" s="106" t="s">
        <v>96</v>
      </c>
      <c r="O1443" s="172"/>
      <c r="P1443" s="106" t="s">
        <v>3250</v>
      </c>
      <c r="Q1443" s="126"/>
      <c r="R1443" s="83" t="s">
        <v>77</v>
      </c>
      <c r="S1443" s="126"/>
      <c r="T1443" s="124" t="s">
        <v>3251</v>
      </c>
      <c r="U1443" s="166"/>
      <c r="V1443" s="83" t="s">
        <v>79</v>
      </c>
      <c r="W1443" s="166"/>
      <c r="X1443" s="83" t="s">
        <v>80</v>
      </c>
      <c r="Y1443" s="168"/>
      <c r="Z1443" s="119" t="s">
        <v>79</v>
      </c>
      <c r="AA1443" s="168"/>
      <c r="AB1443" s="83" t="s">
        <v>80</v>
      </c>
      <c r="AC1443" s="166"/>
      <c r="AD1443" s="106" t="s">
        <v>3252</v>
      </c>
    </row>
    <row r="1444" spans="1:30" s="171" customFormat="1" ht="51">
      <c r="A1444" s="126"/>
      <c r="B1444" s="106" t="s">
        <v>3505</v>
      </c>
      <c r="C1444" s="172"/>
      <c r="D1444" s="106" t="s">
        <v>1515</v>
      </c>
      <c r="E1444" s="126"/>
      <c r="F1444" s="83" t="s">
        <v>254</v>
      </c>
      <c r="G1444" s="126"/>
      <c r="H1444" s="26" t="s">
        <v>116</v>
      </c>
      <c r="I1444" s="126"/>
      <c r="J1444" s="83" t="s">
        <v>3282</v>
      </c>
      <c r="K1444" s="126"/>
      <c r="L1444" s="83" t="s">
        <v>737</v>
      </c>
      <c r="M1444" s="126"/>
      <c r="N1444" s="106" t="s">
        <v>96</v>
      </c>
      <c r="O1444" s="172"/>
      <c r="P1444" s="106" t="s">
        <v>3250</v>
      </c>
      <c r="Q1444" s="126"/>
      <c r="R1444" s="83" t="s">
        <v>77</v>
      </c>
      <c r="S1444" s="126"/>
      <c r="T1444" s="124" t="s">
        <v>3251</v>
      </c>
      <c r="U1444" s="166"/>
      <c r="V1444" s="83" t="s">
        <v>79</v>
      </c>
      <c r="W1444" s="166"/>
      <c r="X1444" s="83" t="s">
        <v>80</v>
      </c>
      <c r="Y1444" s="168"/>
      <c r="Z1444" s="119" t="s">
        <v>79</v>
      </c>
      <c r="AA1444" s="168"/>
      <c r="AB1444" s="83" t="s">
        <v>80</v>
      </c>
      <c r="AC1444" s="166"/>
      <c r="AD1444" s="106" t="s">
        <v>3252</v>
      </c>
    </row>
    <row r="1445" spans="1:30" s="171" customFormat="1" ht="51">
      <c r="A1445" s="126"/>
      <c r="B1445" s="106" t="s">
        <v>3506</v>
      </c>
      <c r="C1445" s="172"/>
      <c r="D1445" s="106" t="s">
        <v>1515</v>
      </c>
      <c r="E1445" s="126"/>
      <c r="F1445" s="83" t="s">
        <v>254</v>
      </c>
      <c r="G1445" s="126"/>
      <c r="H1445" s="26" t="s">
        <v>116</v>
      </c>
      <c r="I1445" s="126"/>
      <c r="J1445" s="83" t="s">
        <v>3282</v>
      </c>
      <c r="K1445" s="126"/>
      <c r="L1445" s="83" t="s">
        <v>737</v>
      </c>
      <c r="M1445" s="126"/>
      <c r="N1445" s="106" t="s">
        <v>96</v>
      </c>
      <c r="O1445" s="172"/>
      <c r="P1445" s="106" t="s">
        <v>3250</v>
      </c>
      <c r="Q1445" s="126"/>
      <c r="R1445" s="83" t="s">
        <v>77</v>
      </c>
      <c r="S1445" s="126"/>
      <c r="T1445" s="124" t="s">
        <v>3251</v>
      </c>
      <c r="U1445" s="166"/>
      <c r="V1445" s="83" t="s">
        <v>79</v>
      </c>
      <c r="W1445" s="166"/>
      <c r="X1445" s="83" t="s">
        <v>80</v>
      </c>
      <c r="Y1445" s="168"/>
      <c r="Z1445" s="119" t="s">
        <v>79</v>
      </c>
      <c r="AA1445" s="168"/>
      <c r="AB1445" s="83" t="s">
        <v>80</v>
      </c>
      <c r="AC1445" s="166"/>
      <c r="AD1445" s="106" t="s">
        <v>3252</v>
      </c>
    </row>
    <row r="1446" spans="1:30" s="171" customFormat="1" ht="51">
      <c r="A1446" s="126"/>
      <c r="B1446" s="106" t="s">
        <v>3507</v>
      </c>
      <c r="C1446" s="172"/>
      <c r="D1446" s="106" t="s">
        <v>3306</v>
      </c>
      <c r="E1446" s="126"/>
      <c r="F1446" s="83" t="s">
        <v>254</v>
      </c>
      <c r="G1446" s="126"/>
      <c r="H1446" s="26" t="s">
        <v>116</v>
      </c>
      <c r="I1446" s="126"/>
      <c r="J1446" s="83" t="s">
        <v>3282</v>
      </c>
      <c r="K1446" s="126"/>
      <c r="L1446" s="83" t="s">
        <v>737</v>
      </c>
      <c r="M1446" s="126"/>
      <c r="N1446" s="106" t="s">
        <v>96</v>
      </c>
      <c r="O1446" s="172"/>
      <c r="P1446" s="106" t="s">
        <v>3250</v>
      </c>
      <c r="Q1446" s="126"/>
      <c r="R1446" s="83" t="s">
        <v>77</v>
      </c>
      <c r="S1446" s="126"/>
      <c r="T1446" s="124" t="s">
        <v>3251</v>
      </c>
      <c r="U1446" s="166"/>
      <c r="V1446" s="83" t="s">
        <v>79</v>
      </c>
      <c r="W1446" s="166"/>
      <c r="X1446" s="83" t="s">
        <v>80</v>
      </c>
      <c r="Y1446" s="168"/>
      <c r="Z1446" s="119" t="s">
        <v>79</v>
      </c>
      <c r="AA1446" s="168"/>
      <c r="AB1446" s="83" t="s">
        <v>80</v>
      </c>
      <c r="AC1446" s="166"/>
      <c r="AD1446" s="106" t="s">
        <v>3252</v>
      </c>
    </row>
    <row r="1447" spans="1:30" s="171" customFormat="1" ht="51">
      <c r="A1447" s="126"/>
      <c r="B1447" s="106" t="s">
        <v>3508</v>
      </c>
      <c r="C1447" s="172"/>
      <c r="D1447" s="106" t="s">
        <v>1515</v>
      </c>
      <c r="E1447" s="126"/>
      <c r="F1447" s="83" t="s">
        <v>254</v>
      </c>
      <c r="G1447" s="126"/>
      <c r="H1447" s="26" t="s">
        <v>116</v>
      </c>
      <c r="I1447" s="126"/>
      <c r="J1447" s="83" t="s">
        <v>3282</v>
      </c>
      <c r="K1447" s="126"/>
      <c r="L1447" s="83" t="s">
        <v>737</v>
      </c>
      <c r="M1447" s="126"/>
      <c r="N1447" s="106" t="s">
        <v>96</v>
      </c>
      <c r="O1447" s="172"/>
      <c r="P1447" s="106" t="s">
        <v>3250</v>
      </c>
      <c r="Q1447" s="126"/>
      <c r="R1447" s="83" t="s">
        <v>77</v>
      </c>
      <c r="S1447" s="126"/>
      <c r="T1447" s="124" t="s">
        <v>3251</v>
      </c>
      <c r="U1447" s="166"/>
      <c r="V1447" s="83" t="s">
        <v>79</v>
      </c>
      <c r="W1447" s="166"/>
      <c r="X1447" s="83" t="s">
        <v>80</v>
      </c>
      <c r="Y1447" s="168"/>
      <c r="Z1447" s="119" t="s">
        <v>79</v>
      </c>
      <c r="AA1447" s="168"/>
      <c r="AB1447" s="83" t="s">
        <v>80</v>
      </c>
      <c r="AC1447" s="166"/>
      <c r="AD1447" s="106" t="s">
        <v>3252</v>
      </c>
    </row>
    <row r="1448" spans="1:30" s="171" customFormat="1" ht="51">
      <c r="A1448" s="126"/>
      <c r="B1448" s="106" t="s">
        <v>3509</v>
      </c>
      <c r="C1448" s="172"/>
      <c r="D1448" s="106" t="s">
        <v>71</v>
      </c>
      <c r="E1448" s="126"/>
      <c r="F1448" s="83" t="s">
        <v>71</v>
      </c>
      <c r="G1448" s="126"/>
      <c r="H1448" s="26" t="s">
        <v>116</v>
      </c>
      <c r="I1448" s="126"/>
      <c r="J1448" s="83" t="s">
        <v>3282</v>
      </c>
      <c r="K1448" s="126"/>
      <c r="L1448" s="83" t="s">
        <v>737</v>
      </c>
      <c r="M1448" s="126"/>
      <c r="N1448" s="106" t="s">
        <v>96</v>
      </c>
      <c r="O1448" s="172"/>
      <c r="P1448" s="106" t="s">
        <v>3250</v>
      </c>
      <c r="Q1448" s="126"/>
      <c r="R1448" s="83" t="s">
        <v>77</v>
      </c>
      <c r="S1448" s="126"/>
      <c r="T1448" s="124" t="s">
        <v>3251</v>
      </c>
      <c r="U1448" s="166"/>
      <c r="V1448" s="83" t="s">
        <v>79</v>
      </c>
      <c r="W1448" s="166"/>
      <c r="X1448" s="83" t="s">
        <v>80</v>
      </c>
      <c r="Y1448" s="168"/>
      <c r="Z1448" s="119" t="s">
        <v>79</v>
      </c>
      <c r="AA1448" s="168"/>
      <c r="AB1448" s="83" t="s">
        <v>80</v>
      </c>
      <c r="AC1448" s="166"/>
      <c r="AD1448" s="106" t="s">
        <v>3252</v>
      </c>
    </row>
    <row r="1449" spans="1:30" s="171" customFormat="1" ht="51">
      <c r="A1449" s="126"/>
      <c r="B1449" s="106" t="s">
        <v>3510</v>
      </c>
      <c r="C1449" s="172"/>
      <c r="D1449" s="106" t="s">
        <v>1515</v>
      </c>
      <c r="E1449" s="126"/>
      <c r="F1449" s="83" t="s">
        <v>254</v>
      </c>
      <c r="G1449" s="126"/>
      <c r="H1449" s="26" t="s">
        <v>116</v>
      </c>
      <c r="I1449" s="126"/>
      <c r="J1449" s="83" t="s">
        <v>3282</v>
      </c>
      <c r="K1449" s="126"/>
      <c r="L1449" s="83" t="s">
        <v>737</v>
      </c>
      <c r="M1449" s="126"/>
      <c r="N1449" s="106" t="s">
        <v>96</v>
      </c>
      <c r="O1449" s="172"/>
      <c r="P1449" s="106" t="s">
        <v>3250</v>
      </c>
      <c r="Q1449" s="126"/>
      <c r="R1449" s="83" t="s">
        <v>77</v>
      </c>
      <c r="S1449" s="126"/>
      <c r="T1449" s="124" t="s">
        <v>3251</v>
      </c>
      <c r="U1449" s="166"/>
      <c r="V1449" s="83" t="s">
        <v>79</v>
      </c>
      <c r="W1449" s="166"/>
      <c r="X1449" s="83" t="s">
        <v>80</v>
      </c>
      <c r="Y1449" s="168"/>
      <c r="Z1449" s="119" t="s">
        <v>79</v>
      </c>
      <c r="AA1449" s="168"/>
      <c r="AB1449" s="83" t="s">
        <v>80</v>
      </c>
      <c r="AC1449" s="166"/>
      <c r="AD1449" s="106" t="s">
        <v>3252</v>
      </c>
    </row>
    <row r="1450" spans="1:30" s="171" customFormat="1" ht="51">
      <c r="A1450" s="126"/>
      <c r="B1450" s="106" t="s">
        <v>3511</v>
      </c>
      <c r="C1450" s="172"/>
      <c r="D1450" s="106" t="s">
        <v>1323</v>
      </c>
      <c r="E1450" s="126"/>
      <c r="F1450" s="83" t="s">
        <v>254</v>
      </c>
      <c r="G1450" s="126"/>
      <c r="H1450" s="26" t="s">
        <v>116</v>
      </c>
      <c r="I1450" s="126"/>
      <c r="J1450" s="83" t="s">
        <v>3282</v>
      </c>
      <c r="K1450" s="126"/>
      <c r="L1450" s="83" t="s">
        <v>737</v>
      </c>
      <c r="M1450" s="126"/>
      <c r="N1450" s="106" t="s">
        <v>96</v>
      </c>
      <c r="O1450" s="172"/>
      <c r="P1450" s="106" t="s">
        <v>3250</v>
      </c>
      <c r="Q1450" s="126"/>
      <c r="R1450" s="83" t="s">
        <v>77</v>
      </c>
      <c r="S1450" s="126"/>
      <c r="T1450" s="124" t="s">
        <v>3251</v>
      </c>
      <c r="U1450" s="166"/>
      <c r="V1450" s="83" t="s">
        <v>79</v>
      </c>
      <c r="W1450" s="166"/>
      <c r="X1450" s="83" t="s">
        <v>80</v>
      </c>
      <c r="Y1450" s="168"/>
      <c r="Z1450" s="119" t="s">
        <v>79</v>
      </c>
      <c r="AA1450" s="168"/>
      <c r="AB1450" s="83" t="s">
        <v>80</v>
      </c>
      <c r="AC1450" s="166"/>
      <c r="AD1450" s="106" t="s">
        <v>3252</v>
      </c>
    </row>
    <row r="1451" spans="1:30" s="171" customFormat="1" ht="51">
      <c r="A1451" s="126"/>
      <c r="B1451" s="106" t="s">
        <v>3512</v>
      </c>
      <c r="C1451" s="172"/>
      <c r="D1451" s="106" t="s">
        <v>3347</v>
      </c>
      <c r="E1451" s="126"/>
      <c r="F1451" s="83" t="s">
        <v>254</v>
      </c>
      <c r="G1451" s="126"/>
      <c r="H1451" s="26" t="s">
        <v>116</v>
      </c>
      <c r="I1451" s="126"/>
      <c r="J1451" s="83" t="s">
        <v>3282</v>
      </c>
      <c r="K1451" s="126"/>
      <c r="L1451" s="83" t="s">
        <v>737</v>
      </c>
      <c r="M1451" s="126"/>
      <c r="N1451" s="106" t="s">
        <v>96</v>
      </c>
      <c r="O1451" s="172"/>
      <c r="P1451" s="106" t="s">
        <v>3250</v>
      </c>
      <c r="Q1451" s="126"/>
      <c r="R1451" s="83" t="s">
        <v>77</v>
      </c>
      <c r="S1451" s="126"/>
      <c r="T1451" s="124" t="s">
        <v>3251</v>
      </c>
      <c r="U1451" s="166"/>
      <c r="V1451" s="83" t="s">
        <v>79</v>
      </c>
      <c r="W1451" s="166"/>
      <c r="X1451" s="83" t="s">
        <v>80</v>
      </c>
      <c r="Y1451" s="168"/>
      <c r="Z1451" s="119" t="s">
        <v>79</v>
      </c>
      <c r="AA1451" s="168"/>
      <c r="AB1451" s="83" t="s">
        <v>80</v>
      </c>
      <c r="AC1451" s="166"/>
      <c r="AD1451" s="106" t="s">
        <v>3252</v>
      </c>
    </row>
    <row r="1452" spans="1:30" s="171" customFormat="1" ht="51">
      <c r="A1452" s="126"/>
      <c r="B1452" s="106" t="s">
        <v>3513</v>
      </c>
      <c r="C1452" s="172"/>
      <c r="D1452" s="106" t="s">
        <v>1515</v>
      </c>
      <c r="E1452" s="126"/>
      <c r="F1452" s="83" t="s">
        <v>254</v>
      </c>
      <c r="G1452" s="126"/>
      <c r="H1452" s="26" t="s">
        <v>116</v>
      </c>
      <c r="I1452" s="126"/>
      <c r="J1452" s="83" t="s">
        <v>3282</v>
      </c>
      <c r="K1452" s="126"/>
      <c r="L1452" s="83" t="s">
        <v>737</v>
      </c>
      <c r="M1452" s="126"/>
      <c r="N1452" s="106" t="s">
        <v>96</v>
      </c>
      <c r="O1452" s="172"/>
      <c r="P1452" s="106" t="s">
        <v>3250</v>
      </c>
      <c r="Q1452" s="126"/>
      <c r="R1452" s="83" t="s">
        <v>77</v>
      </c>
      <c r="S1452" s="126"/>
      <c r="T1452" s="124" t="s">
        <v>3251</v>
      </c>
      <c r="U1452" s="166"/>
      <c r="V1452" s="83" t="s">
        <v>79</v>
      </c>
      <c r="W1452" s="166"/>
      <c r="X1452" s="83" t="s">
        <v>80</v>
      </c>
      <c r="Y1452" s="168"/>
      <c r="Z1452" s="119" t="s">
        <v>79</v>
      </c>
      <c r="AA1452" s="168"/>
      <c r="AB1452" s="83" t="s">
        <v>80</v>
      </c>
      <c r="AC1452" s="166"/>
      <c r="AD1452" s="106" t="s">
        <v>3252</v>
      </c>
    </row>
    <row r="1453" spans="1:30" s="171" customFormat="1" ht="51">
      <c r="A1453" s="126"/>
      <c r="B1453" s="106" t="s">
        <v>3514</v>
      </c>
      <c r="C1453" s="172"/>
      <c r="D1453" s="106" t="s">
        <v>3515</v>
      </c>
      <c r="E1453" s="126"/>
      <c r="F1453" s="83" t="s">
        <v>254</v>
      </c>
      <c r="G1453" s="126"/>
      <c r="H1453" s="26" t="s">
        <v>116</v>
      </c>
      <c r="I1453" s="126"/>
      <c r="J1453" s="83" t="s">
        <v>3282</v>
      </c>
      <c r="K1453" s="126"/>
      <c r="L1453" s="83" t="s">
        <v>737</v>
      </c>
      <c r="M1453" s="126"/>
      <c r="N1453" s="106" t="s">
        <v>96</v>
      </c>
      <c r="O1453" s="172"/>
      <c r="P1453" s="106" t="s">
        <v>3250</v>
      </c>
      <c r="Q1453" s="126"/>
      <c r="R1453" s="83" t="s">
        <v>77</v>
      </c>
      <c r="S1453" s="126"/>
      <c r="T1453" s="124" t="s">
        <v>3251</v>
      </c>
      <c r="U1453" s="166"/>
      <c r="V1453" s="83" t="s">
        <v>79</v>
      </c>
      <c r="W1453" s="166"/>
      <c r="X1453" s="83" t="s">
        <v>80</v>
      </c>
      <c r="Y1453" s="168"/>
      <c r="Z1453" s="119" t="s">
        <v>79</v>
      </c>
      <c r="AA1453" s="168"/>
      <c r="AB1453" s="83" t="s">
        <v>80</v>
      </c>
      <c r="AC1453" s="166"/>
      <c r="AD1453" s="106" t="s">
        <v>3252</v>
      </c>
    </row>
    <row r="1454" spans="1:30" s="171" customFormat="1" ht="51">
      <c r="A1454" s="126"/>
      <c r="B1454" s="106" t="s">
        <v>3516</v>
      </c>
      <c r="C1454" s="172"/>
      <c r="D1454" s="106" t="s">
        <v>3517</v>
      </c>
      <c r="E1454" s="126"/>
      <c r="F1454" s="83" t="s">
        <v>254</v>
      </c>
      <c r="G1454" s="126"/>
      <c r="H1454" s="26" t="s">
        <v>116</v>
      </c>
      <c r="I1454" s="126"/>
      <c r="J1454" s="83" t="s">
        <v>3282</v>
      </c>
      <c r="K1454" s="126"/>
      <c r="L1454" s="83" t="s">
        <v>737</v>
      </c>
      <c r="M1454" s="126"/>
      <c r="N1454" s="106" t="s">
        <v>96</v>
      </c>
      <c r="O1454" s="172"/>
      <c r="P1454" s="106" t="s">
        <v>3250</v>
      </c>
      <c r="Q1454" s="126"/>
      <c r="R1454" s="83" t="s">
        <v>77</v>
      </c>
      <c r="S1454" s="126"/>
      <c r="T1454" s="124" t="s">
        <v>3251</v>
      </c>
      <c r="U1454" s="166"/>
      <c r="V1454" s="83" t="s">
        <v>79</v>
      </c>
      <c r="W1454" s="166"/>
      <c r="X1454" s="83" t="s">
        <v>80</v>
      </c>
      <c r="Y1454" s="168"/>
      <c r="Z1454" s="119" t="s">
        <v>79</v>
      </c>
      <c r="AA1454" s="168"/>
      <c r="AB1454" s="83" t="s">
        <v>80</v>
      </c>
      <c r="AC1454" s="166"/>
      <c r="AD1454" s="106" t="s">
        <v>3252</v>
      </c>
    </row>
    <row r="1455" spans="1:30" s="171" customFormat="1" ht="51">
      <c r="A1455" s="126"/>
      <c r="B1455" s="106" t="s">
        <v>3518</v>
      </c>
      <c r="C1455" s="172"/>
      <c r="D1455" s="106" t="s">
        <v>1515</v>
      </c>
      <c r="E1455" s="126"/>
      <c r="F1455" s="83" t="s">
        <v>254</v>
      </c>
      <c r="G1455" s="126"/>
      <c r="H1455" s="26" t="s">
        <v>116</v>
      </c>
      <c r="I1455" s="126"/>
      <c r="J1455" s="83" t="s">
        <v>3282</v>
      </c>
      <c r="K1455" s="126"/>
      <c r="L1455" s="83" t="s">
        <v>737</v>
      </c>
      <c r="M1455" s="126"/>
      <c r="N1455" s="106" t="s">
        <v>96</v>
      </c>
      <c r="O1455" s="172"/>
      <c r="P1455" s="106" t="s">
        <v>3250</v>
      </c>
      <c r="Q1455" s="126"/>
      <c r="R1455" s="83" t="s">
        <v>77</v>
      </c>
      <c r="S1455" s="126"/>
      <c r="T1455" s="124" t="s">
        <v>3251</v>
      </c>
      <c r="U1455" s="166"/>
      <c r="V1455" s="83" t="s">
        <v>79</v>
      </c>
      <c r="W1455" s="166"/>
      <c r="X1455" s="83" t="s">
        <v>80</v>
      </c>
      <c r="Y1455" s="168"/>
      <c r="Z1455" s="119" t="s">
        <v>79</v>
      </c>
      <c r="AA1455" s="168"/>
      <c r="AB1455" s="83" t="s">
        <v>80</v>
      </c>
      <c r="AC1455" s="166"/>
      <c r="AD1455" s="106" t="s">
        <v>3252</v>
      </c>
    </row>
    <row r="1456" spans="1:30" s="171" customFormat="1" ht="51">
      <c r="A1456" s="126"/>
      <c r="B1456" s="106" t="s">
        <v>3519</v>
      </c>
      <c r="C1456" s="172"/>
      <c r="D1456" s="106" t="s">
        <v>1515</v>
      </c>
      <c r="E1456" s="126"/>
      <c r="F1456" s="83" t="s">
        <v>254</v>
      </c>
      <c r="G1456" s="126"/>
      <c r="H1456" s="26" t="s">
        <v>116</v>
      </c>
      <c r="I1456" s="126"/>
      <c r="J1456" s="83" t="s">
        <v>3282</v>
      </c>
      <c r="K1456" s="126"/>
      <c r="L1456" s="83" t="s">
        <v>737</v>
      </c>
      <c r="M1456" s="126"/>
      <c r="N1456" s="106" t="s">
        <v>96</v>
      </c>
      <c r="O1456" s="172"/>
      <c r="P1456" s="106" t="s">
        <v>3250</v>
      </c>
      <c r="Q1456" s="126"/>
      <c r="R1456" s="83" t="s">
        <v>77</v>
      </c>
      <c r="S1456" s="126"/>
      <c r="T1456" s="124" t="s">
        <v>3251</v>
      </c>
      <c r="U1456" s="166"/>
      <c r="V1456" s="83" t="s">
        <v>79</v>
      </c>
      <c r="W1456" s="166"/>
      <c r="X1456" s="83" t="s">
        <v>80</v>
      </c>
      <c r="Y1456" s="168"/>
      <c r="Z1456" s="119" t="s">
        <v>79</v>
      </c>
      <c r="AA1456" s="168"/>
      <c r="AB1456" s="83" t="s">
        <v>80</v>
      </c>
      <c r="AC1456" s="166"/>
      <c r="AD1456" s="106" t="s">
        <v>3252</v>
      </c>
    </row>
    <row r="1457" spans="1:30" s="171" customFormat="1" ht="51">
      <c r="A1457" s="126"/>
      <c r="B1457" s="106" t="s">
        <v>3520</v>
      </c>
      <c r="C1457" s="172"/>
      <c r="D1457" s="106" t="s">
        <v>1515</v>
      </c>
      <c r="E1457" s="126"/>
      <c r="F1457" s="83" t="s">
        <v>254</v>
      </c>
      <c r="G1457" s="126"/>
      <c r="H1457" s="26" t="s">
        <v>116</v>
      </c>
      <c r="I1457" s="126"/>
      <c r="J1457" s="83" t="s">
        <v>3282</v>
      </c>
      <c r="K1457" s="126"/>
      <c r="L1457" s="83" t="s">
        <v>737</v>
      </c>
      <c r="M1457" s="126"/>
      <c r="N1457" s="106" t="s">
        <v>96</v>
      </c>
      <c r="O1457" s="172"/>
      <c r="P1457" s="106" t="s">
        <v>3250</v>
      </c>
      <c r="Q1457" s="126"/>
      <c r="R1457" s="83" t="s">
        <v>77</v>
      </c>
      <c r="S1457" s="126"/>
      <c r="T1457" s="124" t="s">
        <v>3251</v>
      </c>
      <c r="U1457" s="166"/>
      <c r="V1457" s="83" t="s">
        <v>79</v>
      </c>
      <c r="W1457" s="166"/>
      <c r="X1457" s="83" t="s">
        <v>80</v>
      </c>
      <c r="Y1457" s="168"/>
      <c r="Z1457" s="119" t="s">
        <v>79</v>
      </c>
      <c r="AA1457" s="168"/>
      <c r="AB1457" s="83" t="s">
        <v>80</v>
      </c>
      <c r="AC1457" s="166"/>
      <c r="AD1457" s="106" t="s">
        <v>3252</v>
      </c>
    </row>
    <row r="1458" spans="1:30" s="171" customFormat="1" ht="51">
      <c r="A1458" s="126"/>
      <c r="B1458" s="106" t="s">
        <v>3521</v>
      </c>
      <c r="C1458" s="172"/>
      <c r="D1458" s="106" t="s">
        <v>3287</v>
      </c>
      <c r="E1458" s="126"/>
      <c r="F1458" s="83" t="s">
        <v>254</v>
      </c>
      <c r="G1458" s="126"/>
      <c r="H1458" s="26" t="s">
        <v>116</v>
      </c>
      <c r="I1458" s="126"/>
      <c r="J1458" s="83" t="s">
        <v>3282</v>
      </c>
      <c r="K1458" s="126"/>
      <c r="L1458" s="83" t="s">
        <v>737</v>
      </c>
      <c r="M1458" s="126"/>
      <c r="N1458" s="106" t="s">
        <v>96</v>
      </c>
      <c r="O1458" s="172"/>
      <c r="P1458" s="106" t="s">
        <v>3250</v>
      </c>
      <c r="Q1458" s="126"/>
      <c r="R1458" s="83" t="s">
        <v>77</v>
      </c>
      <c r="S1458" s="126"/>
      <c r="T1458" s="124" t="s">
        <v>3251</v>
      </c>
      <c r="U1458" s="166"/>
      <c r="V1458" s="83" t="s">
        <v>79</v>
      </c>
      <c r="W1458" s="166"/>
      <c r="X1458" s="83" t="s">
        <v>80</v>
      </c>
      <c r="Y1458" s="168"/>
      <c r="Z1458" s="119" t="s">
        <v>79</v>
      </c>
      <c r="AA1458" s="168"/>
      <c r="AB1458" s="83" t="s">
        <v>80</v>
      </c>
      <c r="AC1458" s="166"/>
      <c r="AD1458" s="106" t="s">
        <v>3252</v>
      </c>
    </row>
    <row r="1459" spans="1:30" s="171" customFormat="1" ht="51">
      <c r="A1459" s="126"/>
      <c r="B1459" s="106" t="s">
        <v>3522</v>
      </c>
      <c r="C1459" s="172"/>
      <c r="D1459" s="106" t="s">
        <v>1323</v>
      </c>
      <c r="E1459" s="126"/>
      <c r="F1459" s="83" t="s">
        <v>254</v>
      </c>
      <c r="G1459" s="126"/>
      <c r="H1459" s="26" t="s">
        <v>116</v>
      </c>
      <c r="I1459" s="126"/>
      <c r="J1459" s="83" t="s">
        <v>3282</v>
      </c>
      <c r="K1459" s="126"/>
      <c r="L1459" s="83" t="s">
        <v>737</v>
      </c>
      <c r="M1459" s="126"/>
      <c r="N1459" s="106" t="s">
        <v>96</v>
      </c>
      <c r="O1459" s="172"/>
      <c r="P1459" s="106" t="s">
        <v>3250</v>
      </c>
      <c r="Q1459" s="126"/>
      <c r="R1459" s="83" t="s">
        <v>77</v>
      </c>
      <c r="S1459" s="126"/>
      <c r="T1459" s="124" t="s">
        <v>3251</v>
      </c>
      <c r="U1459" s="166"/>
      <c r="V1459" s="83" t="s">
        <v>79</v>
      </c>
      <c r="W1459" s="166"/>
      <c r="X1459" s="83" t="s">
        <v>80</v>
      </c>
      <c r="Y1459" s="168"/>
      <c r="Z1459" s="119" t="s">
        <v>79</v>
      </c>
      <c r="AA1459" s="168"/>
      <c r="AB1459" s="83" t="s">
        <v>80</v>
      </c>
      <c r="AC1459" s="166"/>
      <c r="AD1459" s="106" t="s">
        <v>3252</v>
      </c>
    </row>
    <row r="1460" spans="1:30" s="171" customFormat="1" ht="51">
      <c r="A1460" s="126"/>
      <c r="B1460" s="106" t="s">
        <v>3523</v>
      </c>
      <c r="C1460" s="172"/>
      <c r="D1460" s="106" t="s">
        <v>1515</v>
      </c>
      <c r="E1460" s="126"/>
      <c r="F1460" s="83" t="s">
        <v>254</v>
      </c>
      <c r="G1460" s="126"/>
      <c r="H1460" s="26" t="s">
        <v>116</v>
      </c>
      <c r="I1460" s="126"/>
      <c r="J1460" s="83" t="s">
        <v>3282</v>
      </c>
      <c r="K1460" s="126"/>
      <c r="L1460" s="83" t="s">
        <v>737</v>
      </c>
      <c r="M1460" s="126"/>
      <c r="N1460" s="106" t="s">
        <v>96</v>
      </c>
      <c r="O1460" s="172"/>
      <c r="P1460" s="106" t="s">
        <v>3250</v>
      </c>
      <c r="Q1460" s="126"/>
      <c r="R1460" s="83" t="s">
        <v>77</v>
      </c>
      <c r="S1460" s="126"/>
      <c r="T1460" s="124" t="s">
        <v>3251</v>
      </c>
      <c r="U1460" s="166"/>
      <c r="V1460" s="83" t="s">
        <v>79</v>
      </c>
      <c r="W1460" s="166"/>
      <c r="X1460" s="83" t="s">
        <v>80</v>
      </c>
      <c r="Y1460" s="168"/>
      <c r="Z1460" s="119" t="s">
        <v>79</v>
      </c>
      <c r="AA1460" s="168"/>
      <c r="AB1460" s="83" t="s">
        <v>80</v>
      </c>
      <c r="AC1460" s="166"/>
      <c r="AD1460" s="106" t="s">
        <v>3252</v>
      </c>
    </row>
    <row r="1461" spans="1:30" s="171" customFormat="1" ht="51">
      <c r="A1461" s="126"/>
      <c r="B1461" s="106" t="s">
        <v>3524</v>
      </c>
      <c r="C1461" s="172"/>
      <c r="D1461" s="106" t="s">
        <v>1414</v>
      </c>
      <c r="E1461" s="126"/>
      <c r="F1461" s="83" t="s">
        <v>254</v>
      </c>
      <c r="G1461" s="126"/>
      <c r="H1461" s="26" t="s">
        <v>116</v>
      </c>
      <c r="I1461" s="126"/>
      <c r="J1461" s="83" t="s">
        <v>3316</v>
      </c>
      <c r="K1461" s="126"/>
      <c r="L1461" s="83" t="s">
        <v>737</v>
      </c>
      <c r="M1461" s="126"/>
      <c r="N1461" s="106" t="s">
        <v>96</v>
      </c>
      <c r="O1461" s="172"/>
      <c r="P1461" s="106" t="s">
        <v>3250</v>
      </c>
      <c r="Q1461" s="126"/>
      <c r="R1461" s="83" t="s">
        <v>77</v>
      </c>
      <c r="S1461" s="126"/>
      <c r="T1461" s="124" t="s">
        <v>3251</v>
      </c>
      <c r="U1461" s="166"/>
      <c r="V1461" s="83" t="s">
        <v>79</v>
      </c>
      <c r="W1461" s="166"/>
      <c r="X1461" s="83" t="s">
        <v>80</v>
      </c>
      <c r="Y1461" s="168"/>
      <c r="Z1461" s="119" t="s">
        <v>79</v>
      </c>
      <c r="AA1461" s="168"/>
      <c r="AB1461" s="83" t="s">
        <v>80</v>
      </c>
      <c r="AC1461" s="166"/>
      <c r="AD1461" s="106" t="s">
        <v>3252</v>
      </c>
    </row>
    <row r="1462" spans="1:30" s="171" customFormat="1" ht="51">
      <c r="A1462" s="126"/>
      <c r="B1462" s="106" t="s">
        <v>3525</v>
      </c>
      <c r="C1462" s="172"/>
      <c r="D1462" s="106" t="s">
        <v>3362</v>
      </c>
      <c r="E1462" s="126"/>
      <c r="F1462" s="83" t="s">
        <v>254</v>
      </c>
      <c r="G1462" s="126"/>
      <c r="H1462" s="26" t="s">
        <v>116</v>
      </c>
      <c r="I1462" s="126"/>
      <c r="J1462" s="83" t="s">
        <v>3316</v>
      </c>
      <c r="K1462" s="126"/>
      <c r="L1462" s="83" t="s">
        <v>737</v>
      </c>
      <c r="M1462" s="126"/>
      <c r="N1462" s="106" t="s">
        <v>96</v>
      </c>
      <c r="O1462" s="172"/>
      <c r="P1462" s="106" t="s">
        <v>3250</v>
      </c>
      <c r="Q1462" s="126"/>
      <c r="R1462" s="83" t="s">
        <v>77</v>
      </c>
      <c r="S1462" s="126"/>
      <c r="T1462" s="124" t="s">
        <v>3251</v>
      </c>
      <c r="U1462" s="166"/>
      <c r="V1462" s="83" t="s">
        <v>79</v>
      </c>
      <c r="W1462" s="166"/>
      <c r="X1462" s="83" t="s">
        <v>80</v>
      </c>
      <c r="Y1462" s="168"/>
      <c r="Z1462" s="119" t="s">
        <v>79</v>
      </c>
      <c r="AA1462" s="168"/>
      <c r="AB1462" s="83" t="s">
        <v>80</v>
      </c>
      <c r="AC1462" s="166"/>
      <c r="AD1462" s="106" t="s">
        <v>3252</v>
      </c>
    </row>
    <row r="1463" spans="1:30" s="171" customFormat="1" ht="51">
      <c r="A1463" s="126"/>
      <c r="B1463" s="106" t="s">
        <v>3526</v>
      </c>
      <c r="C1463" s="172"/>
      <c r="D1463" s="106" t="s">
        <v>71</v>
      </c>
      <c r="E1463" s="126"/>
      <c r="F1463" s="83" t="s">
        <v>71</v>
      </c>
      <c r="G1463" s="126"/>
      <c r="H1463" s="26" t="s">
        <v>116</v>
      </c>
      <c r="I1463" s="126"/>
      <c r="J1463" s="83" t="s">
        <v>3316</v>
      </c>
      <c r="K1463" s="126"/>
      <c r="L1463" s="83" t="s">
        <v>737</v>
      </c>
      <c r="M1463" s="126"/>
      <c r="N1463" s="106" t="s">
        <v>96</v>
      </c>
      <c r="O1463" s="172"/>
      <c r="P1463" s="106" t="s">
        <v>3250</v>
      </c>
      <c r="Q1463" s="126"/>
      <c r="R1463" s="83" t="s">
        <v>77</v>
      </c>
      <c r="S1463" s="126"/>
      <c r="T1463" s="124" t="s">
        <v>3251</v>
      </c>
      <c r="U1463" s="166"/>
      <c r="V1463" s="83" t="s">
        <v>79</v>
      </c>
      <c r="W1463" s="166"/>
      <c r="X1463" s="83" t="s">
        <v>80</v>
      </c>
      <c r="Y1463" s="168"/>
      <c r="Z1463" s="119" t="s">
        <v>79</v>
      </c>
      <c r="AA1463" s="168"/>
      <c r="AB1463" s="83" t="s">
        <v>80</v>
      </c>
      <c r="AC1463" s="166"/>
      <c r="AD1463" s="106" t="s">
        <v>3252</v>
      </c>
    </row>
    <row r="1464" spans="1:30" s="171" customFormat="1" ht="51">
      <c r="A1464" s="126"/>
      <c r="B1464" s="106" t="s">
        <v>3527</v>
      </c>
      <c r="C1464" s="172"/>
      <c r="D1464" s="106" t="s">
        <v>2480</v>
      </c>
      <c r="E1464" s="126"/>
      <c r="F1464" s="23" t="s">
        <v>363</v>
      </c>
      <c r="G1464" s="126"/>
      <c r="H1464" s="26" t="s">
        <v>116</v>
      </c>
      <c r="I1464" s="126"/>
      <c r="J1464" s="83" t="s">
        <v>3316</v>
      </c>
      <c r="K1464" s="126"/>
      <c r="L1464" s="83" t="s">
        <v>737</v>
      </c>
      <c r="M1464" s="126"/>
      <c r="N1464" s="106" t="s">
        <v>96</v>
      </c>
      <c r="O1464" s="172"/>
      <c r="P1464" s="106" t="s">
        <v>3250</v>
      </c>
      <c r="Q1464" s="126"/>
      <c r="R1464" s="83" t="s">
        <v>77</v>
      </c>
      <c r="S1464" s="126"/>
      <c r="T1464" s="124" t="s">
        <v>3251</v>
      </c>
      <c r="U1464" s="166"/>
      <c r="V1464" s="83" t="s">
        <v>79</v>
      </c>
      <c r="W1464" s="166"/>
      <c r="X1464" s="83" t="s">
        <v>80</v>
      </c>
      <c r="Y1464" s="168"/>
      <c r="Z1464" s="119" t="s">
        <v>79</v>
      </c>
      <c r="AA1464" s="168"/>
      <c r="AB1464" s="83" t="s">
        <v>80</v>
      </c>
      <c r="AC1464" s="166"/>
      <c r="AD1464" s="106" t="s">
        <v>3252</v>
      </c>
    </row>
    <row r="1465" spans="1:30" s="171" customFormat="1" ht="51">
      <c r="A1465" s="126"/>
      <c r="B1465" s="106" t="s">
        <v>3528</v>
      </c>
      <c r="C1465" s="172"/>
      <c r="D1465" s="106" t="s">
        <v>3529</v>
      </c>
      <c r="E1465" s="126"/>
      <c r="F1465" s="83" t="s">
        <v>254</v>
      </c>
      <c r="G1465" s="126"/>
      <c r="H1465" s="26" t="s">
        <v>116</v>
      </c>
      <c r="I1465" s="126"/>
      <c r="J1465" s="83" t="s">
        <v>3316</v>
      </c>
      <c r="K1465" s="126"/>
      <c r="L1465" s="83" t="s">
        <v>737</v>
      </c>
      <c r="M1465" s="126"/>
      <c r="N1465" s="106" t="s">
        <v>96</v>
      </c>
      <c r="O1465" s="172"/>
      <c r="P1465" s="106" t="s">
        <v>3250</v>
      </c>
      <c r="Q1465" s="126"/>
      <c r="R1465" s="83" t="s">
        <v>77</v>
      </c>
      <c r="S1465" s="126"/>
      <c r="T1465" s="124" t="s">
        <v>3251</v>
      </c>
      <c r="U1465" s="166"/>
      <c r="V1465" s="83" t="s">
        <v>79</v>
      </c>
      <c r="W1465" s="166"/>
      <c r="X1465" s="83" t="s">
        <v>80</v>
      </c>
      <c r="Y1465" s="168"/>
      <c r="Z1465" s="119" t="s">
        <v>79</v>
      </c>
      <c r="AA1465" s="168"/>
      <c r="AB1465" s="83" t="s">
        <v>80</v>
      </c>
      <c r="AC1465" s="166"/>
      <c r="AD1465" s="106" t="s">
        <v>3252</v>
      </c>
    </row>
    <row r="1466" spans="1:30" s="171" customFormat="1" ht="51">
      <c r="A1466" s="126"/>
      <c r="B1466" s="106" t="s">
        <v>3530</v>
      </c>
      <c r="C1466" s="172"/>
      <c r="D1466" s="106" t="s">
        <v>2875</v>
      </c>
      <c r="E1466" s="126"/>
      <c r="F1466" s="83" t="s">
        <v>123</v>
      </c>
      <c r="G1466" s="126"/>
      <c r="H1466" s="26" t="s">
        <v>116</v>
      </c>
      <c r="I1466" s="126"/>
      <c r="J1466" s="83" t="s">
        <v>3316</v>
      </c>
      <c r="K1466" s="126"/>
      <c r="L1466" s="83" t="s">
        <v>737</v>
      </c>
      <c r="M1466" s="126"/>
      <c r="N1466" s="106" t="s">
        <v>96</v>
      </c>
      <c r="O1466" s="172"/>
      <c r="P1466" s="106" t="s">
        <v>3250</v>
      </c>
      <c r="Q1466" s="126"/>
      <c r="R1466" s="83" t="s">
        <v>77</v>
      </c>
      <c r="S1466" s="126"/>
      <c r="T1466" s="124" t="s">
        <v>3251</v>
      </c>
      <c r="U1466" s="166"/>
      <c r="V1466" s="83" t="s">
        <v>79</v>
      </c>
      <c r="W1466" s="166"/>
      <c r="X1466" s="83" t="s">
        <v>80</v>
      </c>
      <c r="Y1466" s="168"/>
      <c r="Z1466" s="119" t="s">
        <v>79</v>
      </c>
      <c r="AA1466" s="168"/>
      <c r="AB1466" s="83" t="s">
        <v>80</v>
      </c>
      <c r="AC1466" s="166"/>
      <c r="AD1466" s="106" t="s">
        <v>3252</v>
      </c>
    </row>
    <row r="1467" spans="1:30" s="171" customFormat="1" ht="51">
      <c r="A1467" s="126"/>
      <c r="B1467" s="106" t="s">
        <v>3531</v>
      </c>
      <c r="C1467" s="172"/>
      <c r="D1467" s="106" t="s">
        <v>3315</v>
      </c>
      <c r="E1467" s="126"/>
      <c r="F1467" s="83" t="s">
        <v>254</v>
      </c>
      <c r="G1467" s="126"/>
      <c r="H1467" s="26" t="s">
        <v>116</v>
      </c>
      <c r="I1467" s="126"/>
      <c r="J1467" s="83" t="s">
        <v>3316</v>
      </c>
      <c r="K1467" s="126"/>
      <c r="L1467" s="83" t="s">
        <v>737</v>
      </c>
      <c r="M1467" s="126"/>
      <c r="N1467" s="106" t="s">
        <v>96</v>
      </c>
      <c r="O1467" s="172"/>
      <c r="P1467" s="106" t="s">
        <v>3250</v>
      </c>
      <c r="Q1467" s="126"/>
      <c r="R1467" s="83" t="s">
        <v>77</v>
      </c>
      <c r="S1467" s="126"/>
      <c r="T1467" s="124" t="s">
        <v>3251</v>
      </c>
      <c r="U1467" s="166"/>
      <c r="V1467" s="83" t="s">
        <v>79</v>
      </c>
      <c r="W1467" s="166"/>
      <c r="X1467" s="83" t="s">
        <v>80</v>
      </c>
      <c r="Y1467" s="168"/>
      <c r="Z1467" s="119" t="s">
        <v>79</v>
      </c>
      <c r="AA1467" s="168"/>
      <c r="AB1467" s="83" t="s">
        <v>80</v>
      </c>
      <c r="AC1467" s="166"/>
      <c r="AD1467" s="106" t="s">
        <v>3252</v>
      </c>
    </row>
    <row r="1468" spans="1:30" s="171" customFormat="1" ht="51">
      <c r="A1468" s="126"/>
      <c r="B1468" s="106" t="s">
        <v>3532</v>
      </c>
      <c r="C1468" s="172"/>
      <c r="D1468" s="106" t="s">
        <v>3294</v>
      </c>
      <c r="E1468" s="126"/>
      <c r="F1468" s="83" t="s">
        <v>254</v>
      </c>
      <c r="G1468" s="126"/>
      <c r="H1468" s="26" t="s">
        <v>116</v>
      </c>
      <c r="I1468" s="126"/>
      <c r="J1468" s="83" t="s">
        <v>3316</v>
      </c>
      <c r="K1468" s="126"/>
      <c r="L1468" s="83" t="s">
        <v>737</v>
      </c>
      <c r="M1468" s="126"/>
      <c r="N1468" s="106" t="s">
        <v>96</v>
      </c>
      <c r="O1468" s="172"/>
      <c r="P1468" s="106" t="s">
        <v>3250</v>
      </c>
      <c r="Q1468" s="126"/>
      <c r="R1468" s="83" t="s">
        <v>77</v>
      </c>
      <c r="S1468" s="126"/>
      <c r="T1468" s="124" t="s">
        <v>3251</v>
      </c>
      <c r="U1468" s="166"/>
      <c r="V1468" s="83" t="s">
        <v>79</v>
      </c>
      <c r="W1468" s="166"/>
      <c r="X1468" s="83" t="s">
        <v>80</v>
      </c>
      <c r="Y1468" s="168"/>
      <c r="Z1468" s="119" t="s">
        <v>79</v>
      </c>
      <c r="AA1468" s="168"/>
      <c r="AB1468" s="83" t="s">
        <v>80</v>
      </c>
      <c r="AC1468" s="166"/>
      <c r="AD1468" s="106" t="s">
        <v>3252</v>
      </c>
    </row>
    <row r="1469" spans="1:30" s="171" customFormat="1" ht="51">
      <c r="A1469" s="126"/>
      <c r="B1469" s="106" t="s">
        <v>3533</v>
      </c>
      <c r="C1469" s="172"/>
      <c r="D1469" s="106" t="s">
        <v>71</v>
      </c>
      <c r="E1469" s="126"/>
      <c r="F1469" s="83" t="s">
        <v>71</v>
      </c>
      <c r="G1469" s="126"/>
      <c r="H1469" s="26" t="s">
        <v>116</v>
      </c>
      <c r="I1469" s="126"/>
      <c r="J1469" s="83" t="s">
        <v>3316</v>
      </c>
      <c r="K1469" s="126"/>
      <c r="L1469" s="83" t="s">
        <v>737</v>
      </c>
      <c r="M1469" s="126"/>
      <c r="N1469" s="106" t="s">
        <v>96</v>
      </c>
      <c r="O1469" s="172"/>
      <c r="P1469" s="106" t="s">
        <v>3250</v>
      </c>
      <c r="Q1469" s="126"/>
      <c r="R1469" s="83" t="s">
        <v>77</v>
      </c>
      <c r="S1469" s="126"/>
      <c r="T1469" s="124" t="s">
        <v>3251</v>
      </c>
      <c r="U1469" s="166"/>
      <c r="V1469" s="83" t="s">
        <v>79</v>
      </c>
      <c r="W1469" s="166"/>
      <c r="X1469" s="83" t="s">
        <v>80</v>
      </c>
      <c r="Y1469" s="168"/>
      <c r="Z1469" s="119" t="s">
        <v>79</v>
      </c>
      <c r="AA1469" s="168"/>
      <c r="AB1469" s="83" t="s">
        <v>80</v>
      </c>
      <c r="AC1469" s="166"/>
      <c r="AD1469" s="106" t="s">
        <v>3252</v>
      </c>
    </row>
    <row r="1470" spans="1:30" s="171" customFormat="1" ht="51">
      <c r="A1470" s="126"/>
      <c r="B1470" s="106" t="s">
        <v>3534</v>
      </c>
      <c r="C1470" s="172"/>
      <c r="D1470" s="106" t="s">
        <v>3535</v>
      </c>
      <c r="E1470" s="126"/>
      <c r="F1470" s="83" t="s">
        <v>254</v>
      </c>
      <c r="G1470" s="126"/>
      <c r="H1470" s="26" t="s">
        <v>116</v>
      </c>
      <c r="I1470" s="126"/>
      <c r="J1470" s="83" t="s">
        <v>3316</v>
      </c>
      <c r="K1470" s="126"/>
      <c r="L1470" s="83" t="s">
        <v>737</v>
      </c>
      <c r="M1470" s="126"/>
      <c r="N1470" s="106" t="s">
        <v>96</v>
      </c>
      <c r="O1470" s="172"/>
      <c r="P1470" s="106" t="s">
        <v>3250</v>
      </c>
      <c r="Q1470" s="126"/>
      <c r="R1470" s="83" t="s">
        <v>77</v>
      </c>
      <c r="S1470" s="126"/>
      <c r="T1470" s="124" t="s">
        <v>3251</v>
      </c>
      <c r="U1470" s="166"/>
      <c r="V1470" s="83" t="s">
        <v>79</v>
      </c>
      <c r="W1470" s="166"/>
      <c r="X1470" s="83" t="s">
        <v>80</v>
      </c>
      <c r="Y1470" s="168"/>
      <c r="Z1470" s="119" t="s">
        <v>79</v>
      </c>
      <c r="AA1470" s="168"/>
      <c r="AB1470" s="83" t="s">
        <v>80</v>
      </c>
      <c r="AC1470" s="166"/>
      <c r="AD1470" s="106" t="s">
        <v>3252</v>
      </c>
    </row>
    <row r="1471" spans="1:30" s="171" customFormat="1" ht="51">
      <c r="A1471" s="126"/>
      <c r="B1471" s="106" t="s">
        <v>3536</v>
      </c>
      <c r="C1471" s="172"/>
      <c r="D1471" s="106" t="s">
        <v>71</v>
      </c>
      <c r="E1471" s="126"/>
      <c r="F1471" s="83" t="s">
        <v>71</v>
      </c>
      <c r="G1471" s="126"/>
      <c r="H1471" s="26" t="s">
        <v>116</v>
      </c>
      <c r="I1471" s="126"/>
      <c r="J1471" s="83" t="s">
        <v>3316</v>
      </c>
      <c r="K1471" s="126"/>
      <c r="L1471" s="83" t="s">
        <v>737</v>
      </c>
      <c r="M1471" s="126"/>
      <c r="N1471" s="106" t="s">
        <v>96</v>
      </c>
      <c r="O1471" s="172"/>
      <c r="P1471" s="106" t="s">
        <v>3250</v>
      </c>
      <c r="Q1471" s="126"/>
      <c r="R1471" s="83" t="s">
        <v>77</v>
      </c>
      <c r="S1471" s="126"/>
      <c r="T1471" s="124" t="s">
        <v>3251</v>
      </c>
      <c r="U1471" s="166"/>
      <c r="V1471" s="83" t="s">
        <v>79</v>
      </c>
      <c r="W1471" s="166"/>
      <c r="X1471" s="83" t="s">
        <v>80</v>
      </c>
      <c r="Y1471" s="168"/>
      <c r="Z1471" s="119" t="s">
        <v>79</v>
      </c>
      <c r="AA1471" s="168"/>
      <c r="AB1471" s="83" t="s">
        <v>80</v>
      </c>
      <c r="AC1471" s="166"/>
      <c r="AD1471" s="106" t="s">
        <v>3252</v>
      </c>
    </row>
    <row r="1472" spans="1:30" s="171" customFormat="1" ht="51">
      <c r="A1472" s="126"/>
      <c r="B1472" s="106" t="s">
        <v>3537</v>
      </c>
      <c r="C1472" s="172"/>
      <c r="D1472" s="106" t="s">
        <v>3468</v>
      </c>
      <c r="E1472" s="126"/>
      <c r="F1472" s="83" t="s">
        <v>254</v>
      </c>
      <c r="G1472" s="126"/>
      <c r="H1472" s="26" t="s">
        <v>116</v>
      </c>
      <c r="I1472" s="126"/>
      <c r="J1472" s="83" t="s">
        <v>3316</v>
      </c>
      <c r="K1472" s="126"/>
      <c r="L1472" s="83" t="s">
        <v>737</v>
      </c>
      <c r="M1472" s="126"/>
      <c r="N1472" s="106" t="s">
        <v>96</v>
      </c>
      <c r="O1472" s="172"/>
      <c r="P1472" s="106" t="s">
        <v>3250</v>
      </c>
      <c r="Q1472" s="126"/>
      <c r="R1472" s="83" t="s">
        <v>77</v>
      </c>
      <c r="S1472" s="126"/>
      <c r="T1472" s="124" t="s">
        <v>3251</v>
      </c>
      <c r="U1472" s="166"/>
      <c r="V1472" s="83" t="s">
        <v>79</v>
      </c>
      <c r="W1472" s="166"/>
      <c r="X1472" s="83" t="s">
        <v>80</v>
      </c>
      <c r="Y1472" s="168"/>
      <c r="Z1472" s="119" t="s">
        <v>79</v>
      </c>
      <c r="AA1472" s="168"/>
      <c r="AB1472" s="83" t="s">
        <v>80</v>
      </c>
      <c r="AC1472" s="166"/>
      <c r="AD1472" s="106" t="s">
        <v>3252</v>
      </c>
    </row>
    <row r="1473" spans="1:31" s="171" customFormat="1" ht="51">
      <c r="A1473" s="126"/>
      <c r="B1473" s="106" t="s">
        <v>3538</v>
      </c>
      <c r="C1473" s="172"/>
      <c r="D1473" s="106" t="s">
        <v>3535</v>
      </c>
      <c r="E1473" s="126"/>
      <c r="F1473" s="83" t="s">
        <v>254</v>
      </c>
      <c r="G1473" s="126"/>
      <c r="H1473" s="26" t="s">
        <v>116</v>
      </c>
      <c r="I1473" s="126"/>
      <c r="J1473" s="83" t="s">
        <v>3316</v>
      </c>
      <c r="K1473" s="126"/>
      <c r="L1473" s="83" t="s">
        <v>737</v>
      </c>
      <c r="M1473" s="126"/>
      <c r="N1473" s="106" t="s">
        <v>96</v>
      </c>
      <c r="O1473" s="172"/>
      <c r="P1473" s="106" t="s">
        <v>3250</v>
      </c>
      <c r="Q1473" s="126"/>
      <c r="R1473" s="83" t="s">
        <v>77</v>
      </c>
      <c r="S1473" s="126"/>
      <c r="T1473" s="124" t="s">
        <v>3251</v>
      </c>
      <c r="U1473" s="166"/>
      <c r="V1473" s="83" t="s">
        <v>79</v>
      </c>
      <c r="W1473" s="166"/>
      <c r="X1473" s="83" t="s">
        <v>80</v>
      </c>
      <c r="Y1473" s="168"/>
      <c r="Z1473" s="119" t="s">
        <v>79</v>
      </c>
      <c r="AA1473" s="168"/>
      <c r="AB1473" s="83" t="s">
        <v>80</v>
      </c>
      <c r="AC1473" s="166"/>
      <c r="AD1473" s="106" t="s">
        <v>3252</v>
      </c>
    </row>
    <row r="1474" spans="1:31" s="171" customFormat="1" ht="51">
      <c r="A1474" s="126"/>
      <c r="B1474" s="106" t="s">
        <v>3539</v>
      </c>
      <c r="C1474" s="172"/>
      <c r="D1474" s="106" t="s">
        <v>71</v>
      </c>
      <c r="E1474" s="126"/>
      <c r="F1474" s="83" t="s">
        <v>71</v>
      </c>
      <c r="G1474" s="126"/>
      <c r="H1474" s="26" t="s">
        <v>116</v>
      </c>
      <c r="I1474" s="126"/>
      <c r="J1474" s="83" t="s">
        <v>3230</v>
      </c>
      <c r="K1474" s="126"/>
      <c r="L1474" s="83" t="s">
        <v>737</v>
      </c>
      <c r="M1474" s="126"/>
      <c r="N1474" s="106" t="s">
        <v>96</v>
      </c>
      <c r="O1474" s="172"/>
      <c r="P1474" s="106" t="s">
        <v>3250</v>
      </c>
      <c r="Q1474" s="126"/>
      <c r="R1474" s="83" t="s">
        <v>77</v>
      </c>
      <c r="S1474" s="126"/>
      <c r="T1474" s="124" t="s">
        <v>3251</v>
      </c>
      <c r="U1474" s="166"/>
      <c r="V1474" s="83" t="s">
        <v>79</v>
      </c>
      <c r="W1474" s="166"/>
      <c r="X1474" s="83" t="s">
        <v>80</v>
      </c>
      <c r="Y1474" s="168"/>
      <c r="Z1474" s="119" t="s">
        <v>79</v>
      </c>
      <c r="AA1474" s="168"/>
      <c r="AB1474" s="83" t="s">
        <v>80</v>
      </c>
      <c r="AC1474" s="166"/>
      <c r="AD1474" s="106" t="s">
        <v>3252</v>
      </c>
    </row>
    <row r="1475" spans="1:31" s="171" customFormat="1" ht="51">
      <c r="A1475" s="126"/>
      <c r="B1475" s="106" t="s">
        <v>3540</v>
      </c>
      <c r="C1475" s="172"/>
      <c r="D1475" s="106" t="s">
        <v>362</v>
      </c>
      <c r="E1475" s="126"/>
      <c r="F1475" s="23" t="s">
        <v>363</v>
      </c>
      <c r="G1475" s="126"/>
      <c r="H1475" s="26" t="s">
        <v>116</v>
      </c>
      <c r="I1475" s="95"/>
      <c r="J1475" s="106" t="s">
        <v>3541</v>
      </c>
      <c r="K1475" s="126"/>
      <c r="L1475" s="83" t="s">
        <v>737</v>
      </c>
      <c r="M1475" s="126"/>
      <c r="N1475" s="106" t="s">
        <v>96</v>
      </c>
      <c r="O1475" s="172"/>
      <c r="P1475" s="106" t="s">
        <v>3250</v>
      </c>
      <c r="Q1475" s="126"/>
      <c r="R1475" s="83" t="s">
        <v>77</v>
      </c>
      <c r="S1475" s="126"/>
      <c r="T1475" s="124" t="s">
        <v>3251</v>
      </c>
      <c r="U1475" s="166"/>
      <c r="V1475" s="83" t="s">
        <v>79</v>
      </c>
      <c r="W1475" s="166"/>
      <c r="X1475" s="83" t="s">
        <v>80</v>
      </c>
      <c r="Y1475" s="168"/>
      <c r="Z1475" s="119" t="s">
        <v>79</v>
      </c>
      <c r="AA1475" s="168"/>
      <c r="AB1475" s="83" t="s">
        <v>80</v>
      </c>
      <c r="AC1475" s="166"/>
      <c r="AD1475" s="106" t="s">
        <v>3252</v>
      </c>
    </row>
    <row r="1476" spans="1:31" s="171" customFormat="1" ht="51">
      <c r="A1476" s="126"/>
      <c r="B1476" s="106" t="s">
        <v>3542</v>
      </c>
      <c r="C1476" s="172"/>
      <c r="D1476" s="106" t="s">
        <v>3287</v>
      </c>
      <c r="E1476" s="126"/>
      <c r="F1476" s="83" t="s">
        <v>254</v>
      </c>
      <c r="G1476" s="126"/>
      <c r="H1476" s="26" t="s">
        <v>116</v>
      </c>
      <c r="I1476" s="126"/>
      <c r="J1476" s="83" t="s">
        <v>659</v>
      </c>
      <c r="K1476" s="126"/>
      <c r="L1476" s="83" t="s">
        <v>737</v>
      </c>
      <c r="M1476" s="126"/>
      <c r="N1476" s="106" t="s">
        <v>96</v>
      </c>
      <c r="O1476" s="172"/>
      <c r="P1476" s="106" t="s">
        <v>3250</v>
      </c>
      <c r="Q1476" s="126"/>
      <c r="R1476" s="83" t="s">
        <v>77</v>
      </c>
      <c r="S1476" s="126"/>
      <c r="T1476" s="124" t="s">
        <v>3251</v>
      </c>
      <c r="U1476" s="166"/>
      <c r="V1476" s="83" t="s">
        <v>79</v>
      </c>
      <c r="W1476" s="166"/>
      <c r="X1476" s="83" t="s">
        <v>80</v>
      </c>
      <c r="Y1476" s="168"/>
      <c r="Z1476" s="119" t="s">
        <v>79</v>
      </c>
      <c r="AA1476" s="168"/>
      <c r="AB1476" s="83" t="s">
        <v>80</v>
      </c>
      <c r="AC1476" s="166"/>
      <c r="AD1476" s="106" t="s">
        <v>3252</v>
      </c>
    </row>
    <row r="1477" spans="1:31" s="171" customFormat="1" ht="51">
      <c r="A1477" s="126"/>
      <c r="B1477" s="106" t="s">
        <v>3543</v>
      </c>
      <c r="C1477" s="172"/>
      <c r="D1477" s="106" t="s">
        <v>3297</v>
      </c>
      <c r="E1477" s="126"/>
      <c r="F1477" s="83" t="s">
        <v>254</v>
      </c>
      <c r="G1477" s="126"/>
      <c r="H1477" s="26" t="s">
        <v>116</v>
      </c>
      <c r="I1477" s="126"/>
      <c r="J1477" s="83" t="s">
        <v>659</v>
      </c>
      <c r="K1477" s="126"/>
      <c r="L1477" s="83" t="s">
        <v>737</v>
      </c>
      <c r="M1477" s="126"/>
      <c r="N1477" s="106" t="s">
        <v>96</v>
      </c>
      <c r="O1477" s="172"/>
      <c r="P1477" s="106" t="s">
        <v>3250</v>
      </c>
      <c r="Q1477" s="126"/>
      <c r="R1477" s="83" t="s">
        <v>77</v>
      </c>
      <c r="S1477" s="126"/>
      <c r="T1477" s="124" t="s">
        <v>3251</v>
      </c>
      <c r="U1477" s="166"/>
      <c r="V1477" s="83" t="s">
        <v>79</v>
      </c>
      <c r="W1477" s="166"/>
      <c r="X1477" s="83" t="s">
        <v>80</v>
      </c>
      <c r="Y1477" s="168"/>
      <c r="Z1477" s="119" t="s">
        <v>79</v>
      </c>
      <c r="AA1477" s="168"/>
      <c r="AB1477" s="83" t="s">
        <v>80</v>
      </c>
      <c r="AC1477" s="166"/>
      <c r="AD1477" s="106" t="s">
        <v>3252</v>
      </c>
    </row>
    <row r="1478" spans="1:31" s="171" customFormat="1" ht="51">
      <c r="A1478" s="126"/>
      <c r="B1478" s="106" t="s">
        <v>3544</v>
      </c>
      <c r="C1478" s="172"/>
      <c r="D1478" s="106" t="s">
        <v>3340</v>
      </c>
      <c r="E1478" s="126"/>
      <c r="F1478" s="83" t="s">
        <v>254</v>
      </c>
      <c r="G1478" s="126"/>
      <c r="H1478" s="26" t="s">
        <v>116</v>
      </c>
      <c r="I1478" s="126"/>
      <c r="J1478" s="83" t="s">
        <v>659</v>
      </c>
      <c r="K1478" s="126"/>
      <c r="L1478" s="83" t="s">
        <v>737</v>
      </c>
      <c r="M1478" s="126"/>
      <c r="N1478" s="106" t="s">
        <v>96</v>
      </c>
      <c r="O1478" s="172"/>
      <c r="P1478" s="106" t="s">
        <v>3250</v>
      </c>
      <c r="Q1478" s="126"/>
      <c r="R1478" s="83" t="s">
        <v>77</v>
      </c>
      <c r="S1478" s="126"/>
      <c r="T1478" s="124" t="s">
        <v>3251</v>
      </c>
      <c r="U1478" s="166"/>
      <c r="V1478" s="83" t="s">
        <v>79</v>
      </c>
      <c r="W1478" s="166"/>
      <c r="X1478" s="83" t="s">
        <v>80</v>
      </c>
      <c r="Y1478" s="168"/>
      <c r="Z1478" s="119" t="s">
        <v>79</v>
      </c>
      <c r="AA1478" s="168"/>
      <c r="AB1478" s="83" t="s">
        <v>80</v>
      </c>
      <c r="AC1478" s="166"/>
      <c r="AD1478" s="106" t="s">
        <v>3252</v>
      </c>
    </row>
    <row r="1479" spans="1:31" s="171" customFormat="1" ht="51">
      <c r="A1479" s="126"/>
      <c r="B1479" s="106" t="s">
        <v>3545</v>
      </c>
      <c r="C1479" s="172"/>
      <c r="D1479" s="106" t="s">
        <v>621</v>
      </c>
      <c r="E1479" s="126"/>
      <c r="F1479" s="83" t="s">
        <v>254</v>
      </c>
      <c r="G1479" s="126"/>
      <c r="H1479" s="26" t="s">
        <v>116</v>
      </c>
      <c r="I1479" s="126"/>
      <c r="J1479" s="83" t="s">
        <v>659</v>
      </c>
      <c r="K1479" s="126"/>
      <c r="L1479" s="83" t="s">
        <v>737</v>
      </c>
      <c r="M1479" s="126"/>
      <c r="N1479" s="106" t="s">
        <v>96</v>
      </c>
      <c r="O1479" s="172"/>
      <c r="P1479" s="106" t="s">
        <v>3250</v>
      </c>
      <c r="Q1479" s="126"/>
      <c r="R1479" s="83" t="s">
        <v>77</v>
      </c>
      <c r="S1479" s="126"/>
      <c r="T1479" s="124" t="s">
        <v>3251</v>
      </c>
      <c r="U1479" s="166"/>
      <c r="V1479" s="83" t="s">
        <v>79</v>
      </c>
      <c r="W1479" s="166"/>
      <c r="X1479" s="83" t="s">
        <v>80</v>
      </c>
      <c r="Y1479" s="168"/>
      <c r="Z1479" s="119" t="s">
        <v>79</v>
      </c>
      <c r="AA1479" s="168"/>
      <c r="AB1479" s="83" t="s">
        <v>80</v>
      </c>
      <c r="AC1479" s="166"/>
      <c r="AD1479" s="106" t="s">
        <v>3252</v>
      </c>
    </row>
    <row r="1480" spans="1:31" s="171" customFormat="1" ht="51">
      <c r="A1480" s="126"/>
      <c r="B1480" s="106" t="s">
        <v>3546</v>
      </c>
      <c r="C1480" s="172"/>
      <c r="D1480" s="106" t="s">
        <v>3294</v>
      </c>
      <c r="E1480" s="126"/>
      <c r="F1480" s="83" t="s">
        <v>254</v>
      </c>
      <c r="G1480" s="126"/>
      <c r="H1480" s="26" t="s">
        <v>116</v>
      </c>
      <c r="I1480" s="126"/>
      <c r="J1480" s="83" t="s">
        <v>659</v>
      </c>
      <c r="K1480" s="126"/>
      <c r="L1480" s="83" t="s">
        <v>737</v>
      </c>
      <c r="M1480" s="126"/>
      <c r="N1480" s="106" t="s">
        <v>96</v>
      </c>
      <c r="O1480" s="172"/>
      <c r="P1480" s="106" t="s">
        <v>3250</v>
      </c>
      <c r="Q1480" s="126"/>
      <c r="R1480" s="83" t="s">
        <v>77</v>
      </c>
      <c r="S1480" s="126"/>
      <c r="T1480" s="124" t="s">
        <v>3251</v>
      </c>
      <c r="U1480" s="166"/>
      <c r="V1480" s="83" t="s">
        <v>79</v>
      </c>
      <c r="W1480" s="166"/>
      <c r="X1480" s="83" t="s">
        <v>80</v>
      </c>
      <c r="Y1480" s="168"/>
      <c r="Z1480" s="119" t="s">
        <v>79</v>
      </c>
      <c r="AA1480" s="168"/>
      <c r="AB1480" s="83" t="s">
        <v>80</v>
      </c>
      <c r="AC1480" s="166"/>
      <c r="AD1480" s="106" t="s">
        <v>3252</v>
      </c>
    </row>
    <row r="1481" spans="1:31" s="171" customFormat="1" ht="51">
      <c r="A1481" s="126"/>
      <c r="B1481" s="106" t="s">
        <v>3547</v>
      </c>
      <c r="C1481" s="172"/>
      <c r="D1481" s="106" t="s">
        <v>3340</v>
      </c>
      <c r="E1481" s="126"/>
      <c r="F1481" s="83" t="s">
        <v>254</v>
      </c>
      <c r="G1481" s="126"/>
      <c r="H1481" s="26" t="s">
        <v>116</v>
      </c>
      <c r="I1481" s="126"/>
      <c r="J1481" s="83" t="s">
        <v>659</v>
      </c>
      <c r="K1481" s="126"/>
      <c r="L1481" s="83" t="s">
        <v>737</v>
      </c>
      <c r="M1481" s="126"/>
      <c r="N1481" s="106" t="s">
        <v>96</v>
      </c>
      <c r="O1481" s="172"/>
      <c r="P1481" s="106" t="s">
        <v>3250</v>
      </c>
      <c r="Q1481" s="126"/>
      <c r="R1481" s="83" t="s">
        <v>77</v>
      </c>
      <c r="S1481" s="126"/>
      <c r="T1481" s="124" t="s">
        <v>3251</v>
      </c>
      <c r="U1481" s="166"/>
      <c r="V1481" s="83" t="s">
        <v>79</v>
      </c>
      <c r="W1481" s="166"/>
      <c r="X1481" s="83" t="s">
        <v>80</v>
      </c>
      <c r="Y1481" s="168"/>
      <c r="Z1481" s="119" t="s">
        <v>79</v>
      </c>
      <c r="AA1481" s="168"/>
      <c r="AB1481" s="83" t="s">
        <v>80</v>
      </c>
      <c r="AC1481" s="166"/>
      <c r="AD1481" s="106" t="s">
        <v>3252</v>
      </c>
    </row>
    <row r="1482" spans="1:31" s="171" customFormat="1" ht="51">
      <c r="A1482" s="126"/>
      <c r="B1482" s="106" t="s">
        <v>3548</v>
      </c>
      <c r="C1482" s="172"/>
      <c r="D1482" s="106" t="s">
        <v>1515</v>
      </c>
      <c r="E1482" s="126"/>
      <c r="F1482" s="83" t="s">
        <v>254</v>
      </c>
      <c r="G1482" s="126"/>
      <c r="H1482" s="26" t="s">
        <v>116</v>
      </c>
      <c r="I1482" s="126"/>
      <c r="J1482" s="83" t="s">
        <v>659</v>
      </c>
      <c r="K1482" s="126"/>
      <c r="L1482" s="83" t="s">
        <v>737</v>
      </c>
      <c r="M1482" s="126"/>
      <c r="N1482" s="106" t="s">
        <v>96</v>
      </c>
      <c r="O1482" s="172"/>
      <c r="P1482" s="106" t="s">
        <v>3250</v>
      </c>
      <c r="Q1482" s="126"/>
      <c r="R1482" s="83" t="s">
        <v>77</v>
      </c>
      <c r="S1482" s="126"/>
      <c r="T1482" s="124" t="s">
        <v>3251</v>
      </c>
      <c r="U1482" s="166"/>
      <c r="V1482" s="83" t="s">
        <v>79</v>
      </c>
      <c r="W1482" s="166"/>
      <c r="X1482" s="83" t="s">
        <v>80</v>
      </c>
      <c r="Y1482" s="168"/>
      <c r="Z1482" s="119" t="s">
        <v>79</v>
      </c>
      <c r="AA1482" s="168"/>
      <c r="AB1482" s="83" t="s">
        <v>80</v>
      </c>
      <c r="AC1482" s="166"/>
      <c r="AD1482" s="106" t="s">
        <v>3252</v>
      </c>
    </row>
    <row r="1483" spans="1:31" s="171" customFormat="1" ht="51">
      <c r="A1483" s="126"/>
      <c r="B1483" s="106" t="s">
        <v>3549</v>
      </c>
      <c r="C1483" s="172"/>
      <c r="D1483" s="106" t="s">
        <v>3340</v>
      </c>
      <c r="E1483" s="126"/>
      <c r="F1483" s="83" t="s">
        <v>254</v>
      </c>
      <c r="G1483" s="126"/>
      <c r="H1483" s="26" t="s">
        <v>116</v>
      </c>
      <c r="I1483" s="126"/>
      <c r="J1483" s="83" t="s">
        <v>659</v>
      </c>
      <c r="K1483" s="126"/>
      <c r="L1483" s="83" t="s">
        <v>737</v>
      </c>
      <c r="M1483" s="126"/>
      <c r="N1483" s="106" t="s">
        <v>96</v>
      </c>
      <c r="O1483" s="172"/>
      <c r="P1483" s="106" t="s">
        <v>3250</v>
      </c>
      <c r="Q1483" s="126"/>
      <c r="R1483" s="83" t="s">
        <v>77</v>
      </c>
      <c r="S1483" s="126"/>
      <c r="T1483" s="124" t="s">
        <v>3251</v>
      </c>
      <c r="U1483" s="166"/>
      <c r="V1483" s="83" t="s">
        <v>79</v>
      </c>
      <c r="W1483" s="166"/>
      <c r="X1483" s="83" t="s">
        <v>80</v>
      </c>
      <c r="Y1483" s="168"/>
      <c r="Z1483" s="119" t="s">
        <v>79</v>
      </c>
      <c r="AA1483" s="168"/>
      <c r="AB1483" s="83" t="s">
        <v>80</v>
      </c>
      <c r="AC1483" s="166"/>
      <c r="AD1483" s="106" t="s">
        <v>3252</v>
      </c>
    </row>
    <row r="1484" spans="1:31" s="171" customFormat="1" ht="51">
      <c r="A1484" s="126"/>
      <c r="B1484" s="106" t="s">
        <v>3550</v>
      </c>
      <c r="C1484" s="172"/>
      <c r="D1484" s="106" t="s">
        <v>370</v>
      </c>
      <c r="E1484" s="126"/>
      <c r="F1484" s="83" t="s">
        <v>370</v>
      </c>
      <c r="G1484" s="126"/>
      <c r="H1484" s="26" t="s">
        <v>116</v>
      </c>
      <c r="I1484" s="126"/>
      <c r="J1484" s="83" t="s">
        <v>659</v>
      </c>
      <c r="K1484" s="126"/>
      <c r="L1484" s="83" t="s">
        <v>737</v>
      </c>
      <c r="M1484" s="126"/>
      <c r="N1484" s="106" t="s">
        <v>96</v>
      </c>
      <c r="O1484" s="172"/>
      <c r="P1484" s="106" t="s">
        <v>3250</v>
      </c>
      <c r="Q1484" s="126"/>
      <c r="R1484" s="83" t="s">
        <v>77</v>
      </c>
      <c r="S1484" s="126"/>
      <c r="T1484" s="124" t="s">
        <v>3251</v>
      </c>
      <c r="U1484" s="166"/>
      <c r="V1484" s="83" t="s">
        <v>79</v>
      </c>
      <c r="W1484" s="166"/>
      <c r="X1484" s="83" t="s">
        <v>80</v>
      </c>
      <c r="Y1484" s="168"/>
      <c r="Z1484" s="119" t="s">
        <v>79</v>
      </c>
      <c r="AA1484" s="168"/>
      <c r="AB1484" s="83" t="s">
        <v>80</v>
      </c>
      <c r="AC1484" s="166"/>
      <c r="AD1484" s="106" t="s">
        <v>3252</v>
      </c>
    </row>
    <row r="1485" spans="1:31" s="171" customFormat="1" ht="51">
      <c r="A1485" s="126"/>
      <c r="B1485" s="106" t="s">
        <v>3551</v>
      </c>
      <c r="C1485" s="172"/>
      <c r="D1485" s="106" t="s">
        <v>1515</v>
      </c>
      <c r="E1485" s="126"/>
      <c r="F1485" s="83" t="s">
        <v>254</v>
      </c>
      <c r="G1485" s="126"/>
      <c r="H1485" s="26" t="s">
        <v>116</v>
      </c>
      <c r="I1485" s="126"/>
      <c r="J1485" s="83" t="s">
        <v>659</v>
      </c>
      <c r="K1485" s="126"/>
      <c r="L1485" s="83" t="s">
        <v>737</v>
      </c>
      <c r="M1485" s="126"/>
      <c r="N1485" s="106" t="s">
        <v>96</v>
      </c>
      <c r="O1485" s="172"/>
      <c r="P1485" s="106" t="s">
        <v>3250</v>
      </c>
      <c r="Q1485" s="126"/>
      <c r="R1485" s="83" t="s">
        <v>77</v>
      </c>
      <c r="S1485" s="126"/>
      <c r="T1485" s="124" t="s">
        <v>3251</v>
      </c>
      <c r="U1485" s="166"/>
      <c r="V1485" s="83" t="s">
        <v>79</v>
      </c>
      <c r="W1485" s="166"/>
      <c r="X1485" s="83" t="s">
        <v>80</v>
      </c>
      <c r="Y1485" s="168"/>
      <c r="Z1485" s="119" t="s">
        <v>79</v>
      </c>
      <c r="AA1485" s="168"/>
      <c r="AB1485" s="83" t="s">
        <v>80</v>
      </c>
      <c r="AC1485" s="166"/>
      <c r="AD1485" s="106" t="s">
        <v>3252</v>
      </c>
    </row>
    <row r="1486" spans="1:31" s="177" customFormat="1" ht="51">
      <c r="A1486" s="138"/>
      <c r="B1486" s="146" t="s">
        <v>3552</v>
      </c>
      <c r="C1486" s="173"/>
      <c r="D1486" s="146" t="s">
        <v>362</v>
      </c>
      <c r="E1486" s="138"/>
      <c r="F1486" s="23" t="s">
        <v>363</v>
      </c>
      <c r="G1486" s="138"/>
      <c r="H1486" s="133" t="s">
        <v>116</v>
      </c>
      <c r="I1486" s="138"/>
      <c r="J1486" s="148" t="s">
        <v>659</v>
      </c>
      <c r="K1486" s="138"/>
      <c r="L1486" s="148" t="s">
        <v>737</v>
      </c>
      <c r="M1486" s="138"/>
      <c r="N1486" s="146" t="s">
        <v>96</v>
      </c>
      <c r="O1486" s="173"/>
      <c r="P1486" s="146" t="s">
        <v>3250</v>
      </c>
      <c r="Q1486" s="138"/>
      <c r="R1486" s="148" t="s">
        <v>77</v>
      </c>
      <c r="S1486" s="138"/>
      <c r="T1486" s="124" t="s">
        <v>3251</v>
      </c>
      <c r="U1486" s="175"/>
      <c r="V1486" s="83" t="s">
        <v>79</v>
      </c>
      <c r="W1486" s="166"/>
      <c r="X1486" s="83" t="s">
        <v>80</v>
      </c>
      <c r="Y1486" s="176"/>
      <c r="Z1486" s="119" t="s">
        <v>79</v>
      </c>
      <c r="AA1486" s="168"/>
      <c r="AB1486" s="83" t="s">
        <v>80</v>
      </c>
      <c r="AC1486" s="175"/>
      <c r="AD1486" s="106" t="s">
        <v>3252</v>
      </c>
      <c r="AE1486" s="171"/>
    </row>
    <row r="1487" spans="1:31" s="171" customFormat="1" ht="51">
      <c r="A1487" s="126"/>
      <c r="B1487" s="106" t="s">
        <v>3553</v>
      </c>
      <c r="C1487" s="172"/>
      <c r="D1487" s="106" t="s">
        <v>3287</v>
      </c>
      <c r="E1487" s="126"/>
      <c r="F1487" s="83" t="s">
        <v>254</v>
      </c>
      <c r="G1487" s="126"/>
      <c r="H1487" s="26" t="s">
        <v>116</v>
      </c>
      <c r="I1487" s="126"/>
      <c r="J1487" s="83" t="s">
        <v>659</v>
      </c>
      <c r="K1487" s="126"/>
      <c r="L1487" s="83" t="s">
        <v>737</v>
      </c>
      <c r="M1487" s="126"/>
      <c r="N1487" s="106" t="s">
        <v>96</v>
      </c>
      <c r="O1487" s="172"/>
      <c r="P1487" s="106" t="s">
        <v>3250</v>
      </c>
      <c r="Q1487" s="126"/>
      <c r="R1487" s="83" t="s">
        <v>77</v>
      </c>
      <c r="S1487" s="126"/>
      <c r="T1487" s="124" t="s">
        <v>3251</v>
      </c>
      <c r="U1487" s="166"/>
      <c r="V1487" s="83" t="s">
        <v>79</v>
      </c>
      <c r="W1487" s="166"/>
      <c r="X1487" s="83" t="s">
        <v>80</v>
      </c>
      <c r="Y1487" s="168"/>
      <c r="Z1487" s="119" t="s">
        <v>79</v>
      </c>
      <c r="AA1487" s="168"/>
      <c r="AB1487" s="83" t="s">
        <v>80</v>
      </c>
      <c r="AC1487" s="166"/>
      <c r="AD1487" s="106" t="s">
        <v>3252</v>
      </c>
    </row>
    <row r="1488" spans="1:31" s="171" customFormat="1" ht="51">
      <c r="A1488" s="126"/>
      <c r="B1488" s="106" t="s">
        <v>3554</v>
      </c>
      <c r="C1488" s="172"/>
      <c r="D1488" s="106" t="s">
        <v>3287</v>
      </c>
      <c r="E1488" s="126"/>
      <c r="F1488" s="83" t="s">
        <v>254</v>
      </c>
      <c r="G1488" s="126"/>
      <c r="H1488" s="26" t="s">
        <v>116</v>
      </c>
      <c r="I1488" s="126"/>
      <c r="J1488" s="83" t="s">
        <v>659</v>
      </c>
      <c r="K1488" s="126"/>
      <c r="L1488" s="83" t="s">
        <v>737</v>
      </c>
      <c r="M1488" s="126"/>
      <c r="N1488" s="106" t="s">
        <v>96</v>
      </c>
      <c r="O1488" s="172"/>
      <c r="P1488" s="106" t="s">
        <v>3250</v>
      </c>
      <c r="Q1488" s="126"/>
      <c r="R1488" s="83" t="s">
        <v>77</v>
      </c>
      <c r="S1488" s="126"/>
      <c r="T1488" s="124" t="s">
        <v>3251</v>
      </c>
      <c r="U1488" s="166"/>
      <c r="V1488" s="83" t="s">
        <v>79</v>
      </c>
      <c r="W1488" s="166"/>
      <c r="X1488" s="83" t="s">
        <v>80</v>
      </c>
      <c r="Y1488" s="168"/>
      <c r="Z1488" s="119" t="s">
        <v>79</v>
      </c>
      <c r="AA1488" s="168"/>
      <c r="AB1488" s="83" t="s">
        <v>80</v>
      </c>
      <c r="AC1488" s="166"/>
      <c r="AD1488" s="106" t="s">
        <v>3252</v>
      </c>
      <c r="AE1488" s="177"/>
    </row>
    <row r="1489" spans="1:30" s="171" customFormat="1" ht="51">
      <c r="A1489" s="126"/>
      <c r="B1489" s="106" t="s">
        <v>3555</v>
      </c>
      <c r="C1489" s="172"/>
      <c r="D1489" s="106" t="s">
        <v>1788</v>
      </c>
      <c r="E1489" s="126"/>
      <c r="F1489" s="83" t="s">
        <v>254</v>
      </c>
      <c r="G1489" s="126"/>
      <c r="H1489" s="26" t="s">
        <v>116</v>
      </c>
      <c r="I1489" s="126"/>
      <c r="J1489" s="83" t="s">
        <v>659</v>
      </c>
      <c r="K1489" s="126"/>
      <c r="L1489" s="83" t="s">
        <v>737</v>
      </c>
      <c r="M1489" s="126"/>
      <c r="N1489" s="106" t="s">
        <v>96</v>
      </c>
      <c r="O1489" s="172"/>
      <c r="P1489" s="106" t="s">
        <v>3250</v>
      </c>
      <c r="Q1489" s="126"/>
      <c r="R1489" s="83" t="s">
        <v>77</v>
      </c>
      <c r="S1489" s="126"/>
      <c r="T1489" s="124" t="s">
        <v>3251</v>
      </c>
      <c r="U1489" s="166"/>
      <c r="V1489" s="83" t="s">
        <v>79</v>
      </c>
      <c r="W1489" s="166"/>
      <c r="X1489" s="83" t="s">
        <v>80</v>
      </c>
      <c r="Y1489" s="168"/>
      <c r="Z1489" s="119" t="s">
        <v>79</v>
      </c>
      <c r="AA1489" s="168"/>
      <c r="AB1489" s="83" t="s">
        <v>80</v>
      </c>
      <c r="AC1489" s="166"/>
      <c r="AD1489" s="106" t="s">
        <v>3252</v>
      </c>
    </row>
    <row r="1490" spans="1:30" s="171" customFormat="1" ht="51">
      <c r="A1490" s="126"/>
      <c r="B1490" s="106" t="s">
        <v>3556</v>
      </c>
      <c r="C1490" s="172"/>
      <c r="D1490" s="106" t="s">
        <v>3340</v>
      </c>
      <c r="E1490" s="126"/>
      <c r="F1490" s="83" t="s">
        <v>254</v>
      </c>
      <c r="G1490" s="126"/>
      <c r="H1490" s="26" t="s">
        <v>116</v>
      </c>
      <c r="I1490" s="126"/>
      <c r="J1490" s="83" t="s">
        <v>659</v>
      </c>
      <c r="K1490" s="126"/>
      <c r="L1490" s="83" t="s">
        <v>737</v>
      </c>
      <c r="M1490" s="126"/>
      <c r="N1490" s="106" t="s">
        <v>96</v>
      </c>
      <c r="O1490" s="172"/>
      <c r="P1490" s="106" t="s">
        <v>3250</v>
      </c>
      <c r="Q1490" s="126"/>
      <c r="R1490" s="83" t="s">
        <v>77</v>
      </c>
      <c r="S1490" s="126"/>
      <c r="T1490" s="124" t="s">
        <v>3251</v>
      </c>
      <c r="U1490" s="166"/>
      <c r="V1490" s="83" t="s">
        <v>79</v>
      </c>
      <c r="W1490" s="166"/>
      <c r="X1490" s="83" t="s">
        <v>80</v>
      </c>
      <c r="Y1490" s="168"/>
      <c r="Z1490" s="119" t="s">
        <v>79</v>
      </c>
      <c r="AA1490" s="168"/>
      <c r="AB1490" s="83" t="s">
        <v>80</v>
      </c>
      <c r="AC1490" s="166"/>
      <c r="AD1490" s="106" t="s">
        <v>3252</v>
      </c>
    </row>
    <row r="1491" spans="1:30" s="171" customFormat="1" ht="51">
      <c r="A1491" s="126"/>
      <c r="B1491" s="106" t="s">
        <v>3557</v>
      </c>
      <c r="C1491" s="172"/>
      <c r="D1491" s="106" t="s">
        <v>3340</v>
      </c>
      <c r="E1491" s="126"/>
      <c r="F1491" s="83" t="s">
        <v>254</v>
      </c>
      <c r="G1491" s="126"/>
      <c r="H1491" s="26" t="s">
        <v>116</v>
      </c>
      <c r="I1491" s="126"/>
      <c r="J1491" s="83" t="s">
        <v>659</v>
      </c>
      <c r="K1491" s="126"/>
      <c r="L1491" s="83" t="s">
        <v>737</v>
      </c>
      <c r="M1491" s="126"/>
      <c r="N1491" s="106" t="s">
        <v>96</v>
      </c>
      <c r="O1491" s="172"/>
      <c r="P1491" s="106" t="s">
        <v>3250</v>
      </c>
      <c r="Q1491" s="126"/>
      <c r="R1491" s="83" t="s">
        <v>77</v>
      </c>
      <c r="S1491" s="126"/>
      <c r="T1491" s="124" t="s">
        <v>3251</v>
      </c>
      <c r="U1491" s="166"/>
      <c r="V1491" s="83" t="s">
        <v>79</v>
      </c>
      <c r="W1491" s="166"/>
      <c r="X1491" s="83" t="s">
        <v>80</v>
      </c>
      <c r="Y1491" s="168"/>
      <c r="Z1491" s="119" t="s">
        <v>79</v>
      </c>
      <c r="AA1491" s="168"/>
      <c r="AB1491" s="83" t="s">
        <v>80</v>
      </c>
      <c r="AC1491" s="166"/>
      <c r="AD1491" s="106" t="s">
        <v>3252</v>
      </c>
    </row>
    <row r="1492" spans="1:30" s="171" customFormat="1" ht="51">
      <c r="A1492" s="126"/>
      <c r="B1492" s="106" t="s">
        <v>3558</v>
      </c>
      <c r="C1492" s="172"/>
      <c r="D1492" s="106" t="s">
        <v>1515</v>
      </c>
      <c r="E1492" s="126"/>
      <c r="F1492" s="83" t="s">
        <v>254</v>
      </c>
      <c r="G1492" s="126"/>
      <c r="H1492" s="26" t="s">
        <v>116</v>
      </c>
      <c r="I1492" s="126"/>
      <c r="J1492" s="83" t="s">
        <v>659</v>
      </c>
      <c r="K1492" s="126"/>
      <c r="L1492" s="83" t="s">
        <v>737</v>
      </c>
      <c r="M1492" s="126"/>
      <c r="N1492" s="106" t="s">
        <v>96</v>
      </c>
      <c r="O1492" s="172"/>
      <c r="P1492" s="106" t="s">
        <v>3250</v>
      </c>
      <c r="Q1492" s="126"/>
      <c r="R1492" s="83" t="s">
        <v>77</v>
      </c>
      <c r="S1492" s="126"/>
      <c r="T1492" s="124" t="s">
        <v>3251</v>
      </c>
      <c r="U1492" s="166"/>
      <c r="V1492" s="83" t="s">
        <v>79</v>
      </c>
      <c r="W1492" s="166"/>
      <c r="X1492" s="83" t="s">
        <v>80</v>
      </c>
      <c r="Y1492" s="168"/>
      <c r="Z1492" s="119" t="s">
        <v>79</v>
      </c>
      <c r="AA1492" s="168"/>
      <c r="AB1492" s="83" t="s">
        <v>80</v>
      </c>
      <c r="AC1492" s="166"/>
      <c r="AD1492" s="106" t="s">
        <v>3252</v>
      </c>
    </row>
    <row r="1493" spans="1:30" s="171" customFormat="1" ht="51">
      <c r="A1493" s="126"/>
      <c r="B1493" s="106" t="s">
        <v>3559</v>
      </c>
      <c r="C1493" s="172"/>
      <c r="D1493" s="106" t="s">
        <v>3560</v>
      </c>
      <c r="E1493" s="126"/>
      <c r="F1493" s="83" t="s">
        <v>254</v>
      </c>
      <c r="G1493" s="126"/>
      <c r="H1493" s="26" t="s">
        <v>116</v>
      </c>
      <c r="I1493" s="126"/>
      <c r="J1493" s="83" t="s">
        <v>659</v>
      </c>
      <c r="K1493" s="126"/>
      <c r="L1493" s="83" t="s">
        <v>737</v>
      </c>
      <c r="M1493" s="126"/>
      <c r="N1493" s="106" t="s">
        <v>96</v>
      </c>
      <c r="O1493" s="172"/>
      <c r="P1493" s="106" t="s">
        <v>3250</v>
      </c>
      <c r="Q1493" s="126"/>
      <c r="R1493" s="83" t="s">
        <v>77</v>
      </c>
      <c r="S1493" s="126"/>
      <c r="T1493" s="124" t="s">
        <v>3251</v>
      </c>
      <c r="U1493" s="166"/>
      <c r="V1493" s="83" t="s">
        <v>79</v>
      </c>
      <c r="W1493" s="166"/>
      <c r="X1493" s="83" t="s">
        <v>80</v>
      </c>
      <c r="Y1493" s="168"/>
      <c r="Z1493" s="119" t="s">
        <v>79</v>
      </c>
      <c r="AA1493" s="168"/>
      <c r="AB1493" s="83" t="s">
        <v>80</v>
      </c>
      <c r="AC1493" s="166"/>
      <c r="AD1493" s="106" t="s">
        <v>3252</v>
      </c>
    </row>
    <row r="1494" spans="1:30" s="171" customFormat="1" ht="51">
      <c r="A1494" s="126"/>
      <c r="B1494" s="106" t="s">
        <v>3561</v>
      </c>
      <c r="C1494" s="172"/>
      <c r="D1494" s="106" t="s">
        <v>613</v>
      </c>
      <c r="E1494" s="126"/>
      <c r="F1494" s="83" t="s">
        <v>254</v>
      </c>
      <c r="G1494" s="126"/>
      <c r="H1494" s="26" t="s">
        <v>116</v>
      </c>
      <c r="I1494" s="126"/>
      <c r="J1494" s="83" t="s">
        <v>659</v>
      </c>
      <c r="K1494" s="126"/>
      <c r="L1494" s="83" t="s">
        <v>737</v>
      </c>
      <c r="M1494" s="126"/>
      <c r="N1494" s="106" t="s">
        <v>96</v>
      </c>
      <c r="O1494" s="172"/>
      <c r="P1494" s="106" t="s">
        <v>3250</v>
      </c>
      <c r="Q1494" s="126"/>
      <c r="R1494" s="83" t="s">
        <v>77</v>
      </c>
      <c r="S1494" s="126"/>
      <c r="T1494" s="124" t="s">
        <v>3251</v>
      </c>
      <c r="U1494" s="166"/>
      <c r="V1494" s="83" t="s">
        <v>79</v>
      </c>
      <c r="W1494" s="166"/>
      <c r="X1494" s="83" t="s">
        <v>80</v>
      </c>
      <c r="Y1494" s="168"/>
      <c r="Z1494" s="119" t="s">
        <v>79</v>
      </c>
      <c r="AA1494" s="168"/>
      <c r="AB1494" s="83" t="s">
        <v>80</v>
      </c>
      <c r="AC1494" s="166"/>
      <c r="AD1494" s="106" t="s">
        <v>3252</v>
      </c>
    </row>
    <row r="1495" spans="1:30" s="171" customFormat="1" ht="51">
      <c r="A1495" s="126"/>
      <c r="B1495" s="106" t="s">
        <v>3562</v>
      </c>
      <c r="C1495" s="172"/>
      <c r="D1495" s="106" t="s">
        <v>3271</v>
      </c>
      <c r="E1495" s="126"/>
      <c r="F1495" s="83" t="s">
        <v>254</v>
      </c>
      <c r="G1495" s="126"/>
      <c r="H1495" s="26" t="s">
        <v>116</v>
      </c>
      <c r="I1495" s="126"/>
      <c r="J1495" s="83" t="s">
        <v>659</v>
      </c>
      <c r="K1495" s="126"/>
      <c r="L1495" s="83" t="s">
        <v>737</v>
      </c>
      <c r="M1495" s="126"/>
      <c r="N1495" s="106" t="s">
        <v>96</v>
      </c>
      <c r="O1495" s="172"/>
      <c r="P1495" s="106" t="s">
        <v>3250</v>
      </c>
      <c r="Q1495" s="126"/>
      <c r="R1495" s="83" t="s">
        <v>77</v>
      </c>
      <c r="S1495" s="126"/>
      <c r="T1495" s="124" t="s">
        <v>3251</v>
      </c>
      <c r="U1495" s="166"/>
      <c r="V1495" s="83" t="s">
        <v>79</v>
      </c>
      <c r="W1495" s="166"/>
      <c r="X1495" s="83" t="s">
        <v>80</v>
      </c>
      <c r="Y1495" s="168"/>
      <c r="Z1495" s="119" t="s">
        <v>79</v>
      </c>
      <c r="AA1495" s="168"/>
      <c r="AB1495" s="83" t="s">
        <v>80</v>
      </c>
      <c r="AC1495" s="166"/>
      <c r="AD1495" s="106" t="s">
        <v>3252</v>
      </c>
    </row>
    <row r="1496" spans="1:30" s="171" customFormat="1" ht="51">
      <c r="A1496" s="126"/>
      <c r="B1496" s="106" t="s">
        <v>3563</v>
      </c>
      <c r="C1496" s="172"/>
      <c r="D1496" s="106" t="s">
        <v>3564</v>
      </c>
      <c r="E1496" s="126"/>
      <c r="F1496" s="83" t="s">
        <v>254</v>
      </c>
      <c r="G1496" s="126"/>
      <c r="H1496" s="26" t="s">
        <v>116</v>
      </c>
      <c r="I1496" s="126"/>
      <c r="J1496" s="83" t="s">
        <v>659</v>
      </c>
      <c r="K1496" s="126"/>
      <c r="L1496" s="83" t="s">
        <v>737</v>
      </c>
      <c r="M1496" s="126"/>
      <c r="N1496" s="106" t="s">
        <v>96</v>
      </c>
      <c r="O1496" s="172"/>
      <c r="P1496" s="106" t="s">
        <v>3250</v>
      </c>
      <c r="Q1496" s="126"/>
      <c r="R1496" s="83" t="s">
        <v>77</v>
      </c>
      <c r="S1496" s="126"/>
      <c r="T1496" s="124" t="s">
        <v>3251</v>
      </c>
      <c r="U1496" s="166"/>
      <c r="V1496" s="83" t="s">
        <v>79</v>
      </c>
      <c r="W1496" s="166"/>
      <c r="X1496" s="83" t="s">
        <v>80</v>
      </c>
      <c r="Y1496" s="168"/>
      <c r="Z1496" s="119" t="s">
        <v>79</v>
      </c>
      <c r="AA1496" s="168"/>
      <c r="AB1496" s="83" t="s">
        <v>80</v>
      </c>
      <c r="AC1496" s="166"/>
      <c r="AD1496" s="106" t="s">
        <v>3252</v>
      </c>
    </row>
    <row r="1497" spans="1:30" s="171" customFormat="1" ht="51">
      <c r="A1497" s="126"/>
      <c r="B1497" s="106" t="s">
        <v>3565</v>
      </c>
      <c r="C1497" s="172"/>
      <c r="D1497" s="106" t="s">
        <v>1515</v>
      </c>
      <c r="E1497" s="126"/>
      <c r="F1497" s="83" t="s">
        <v>254</v>
      </c>
      <c r="G1497" s="126"/>
      <c r="H1497" s="26" t="s">
        <v>116</v>
      </c>
      <c r="I1497" s="126"/>
      <c r="J1497" s="83" t="s">
        <v>659</v>
      </c>
      <c r="K1497" s="126"/>
      <c r="L1497" s="83" t="s">
        <v>737</v>
      </c>
      <c r="M1497" s="126"/>
      <c r="N1497" s="106" t="s">
        <v>96</v>
      </c>
      <c r="O1497" s="172"/>
      <c r="P1497" s="106" t="s">
        <v>3250</v>
      </c>
      <c r="Q1497" s="126"/>
      <c r="R1497" s="83" t="s">
        <v>77</v>
      </c>
      <c r="S1497" s="126"/>
      <c r="T1497" s="124" t="s">
        <v>3251</v>
      </c>
      <c r="U1497" s="166"/>
      <c r="V1497" s="83" t="s">
        <v>79</v>
      </c>
      <c r="W1497" s="166"/>
      <c r="X1497" s="83" t="s">
        <v>80</v>
      </c>
      <c r="Y1497" s="168"/>
      <c r="Z1497" s="119" t="s">
        <v>79</v>
      </c>
      <c r="AA1497" s="168"/>
      <c r="AB1497" s="83" t="s">
        <v>80</v>
      </c>
      <c r="AC1497" s="166"/>
      <c r="AD1497" s="106" t="s">
        <v>3252</v>
      </c>
    </row>
    <row r="1498" spans="1:30" s="171" customFormat="1" ht="51">
      <c r="A1498" s="126"/>
      <c r="B1498" s="106" t="s">
        <v>3566</v>
      </c>
      <c r="C1498" s="172"/>
      <c r="D1498" s="106" t="s">
        <v>3297</v>
      </c>
      <c r="E1498" s="126"/>
      <c r="F1498" s="83" t="s">
        <v>254</v>
      </c>
      <c r="G1498" s="126"/>
      <c r="H1498" s="26" t="s">
        <v>116</v>
      </c>
      <c r="I1498" s="126"/>
      <c r="J1498" s="83" t="s">
        <v>659</v>
      </c>
      <c r="K1498" s="126"/>
      <c r="L1498" s="83" t="s">
        <v>737</v>
      </c>
      <c r="M1498" s="126"/>
      <c r="N1498" s="106" t="s">
        <v>96</v>
      </c>
      <c r="O1498" s="172"/>
      <c r="P1498" s="106" t="s">
        <v>3250</v>
      </c>
      <c r="Q1498" s="126"/>
      <c r="R1498" s="83" t="s">
        <v>77</v>
      </c>
      <c r="S1498" s="126"/>
      <c r="T1498" s="124" t="s">
        <v>3251</v>
      </c>
      <c r="U1498" s="166"/>
      <c r="V1498" s="83" t="s">
        <v>79</v>
      </c>
      <c r="W1498" s="166"/>
      <c r="X1498" s="83" t="s">
        <v>80</v>
      </c>
      <c r="Y1498" s="168"/>
      <c r="Z1498" s="119" t="s">
        <v>79</v>
      </c>
      <c r="AA1498" s="168"/>
      <c r="AB1498" s="83" t="s">
        <v>80</v>
      </c>
      <c r="AC1498" s="166"/>
      <c r="AD1498" s="106" t="s">
        <v>3252</v>
      </c>
    </row>
    <row r="1499" spans="1:30" s="171" customFormat="1" ht="51">
      <c r="A1499" s="126"/>
      <c r="B1499" s="106" t="s">
        <v>3567</v>
      </c>
      <c r="C1499" s="172"/>
      <c r="D1499" s="106" t="s">
        <v>3568</v>
      </c>
      <c r="E1499" s="126"/>
      <c r="F1499" s="83" t="s">
        <v>254</v>
      </c>
      <c r="G1499" s="126"/>
      <c r="H1499" s="26" t="s">
        <v>116</v>
      </c>
      <c r="I1499" s="126"/>
      <c r="J1499" s="83" t="s">
        <v>659</v>
      </c>
      <c r="K1499" s="126"/>
      <c r="L1499" s="83" t="s">
        <v>737</v>
      </c>
      <c r="M1499" s="126"/>
      <c r="N1499" s="106" t="s">
        <v>96</v>
      </c>
      <c r="O1499" s="172"/>
      <c r="P1499" s="106" t="s">
        <v>3250</v>
      </c>
      <c r="Q1499" s="126"/>
      <c r="R1499" s="83" t="s">
        <v>77</v>
      </c>
      <c r="S1499" s="126"/>
      <c r="T1499" s="124" t="s">
        <v>3251</v>
      </c>
      <c r="U1499" s="166"/>
      <c r="V1499" s="83" t="s">
        <v>79</v>
      </c>
      <c r="W1499" s="166"/>
      <c r="X1499" s="83" t="s">
        <v>80</v>
      </c>
      <c r="Y1499" s="168"/>
      <c r="Z1499" s="119" t="s">
        <v>79</v>
      </c>
      <c r="AA1499" s="168"/>
      <c r="AB1499" s="83" t="s">
        <v>80</v>
      </c>
      <c r="AC1499" s="166"/>
      <c r="AD1499" s="106" t="s">
        <v>3252</v>
      </c>
    </row>
    <row r="1500" spans="1:30" s="171" customFormat="1" ht="51">
      <c r="A1500" s="126"/>
      <c r="B1500" s="106" t="s">
        <v>3569</v>
      </c>
      <c r="C1500" s="172"/>
      <c r="D1500" s="106" t="s">
        <v>3340</v>
      </c>
      <c r="E1500" s="126"/>
      <c r="F1500" s="83" t="s">
        <v>254</v>
      </c>
      <c r="G1500" s="126"/>
      <c r="H1500" s="26" t="s">
        <v>116</v>
      </c>
      <c r="I1500" s="126"/>
      <c r="J1500" s="83" t="s">
        <v>659</v>
      </c>
      <c r="K1500" s="126"/>
      <c r="L1500" s="83" t="s">
        <v>737</v>
      </c>
      <c r="M1500" s="126"/>
      <c r="N1500" s="106" t="s">
        <v>96</v>
      </c>
      <c r="O1500" s="172"/>
      <c r="P1500" s="106" t="s">
        <v>3250</v>
      </c>
      <c r="Q1500" s="126"/>
      <c r="R1500" s="83" t="s">
        <v>77</v>
      </c>
      <c r="S1500" s="126"/>
      <c r="T1500" s="124" t="s">
        <v>3251</v>
      </c>
      <c r="U1500" s="166"/>
      <c r="V1500" s="83" t="s">
        <v>79</v>
      </c>
      <c r="W1500" s="166"/>
      <c r="X1500" s="83" t="s">
        <v>80</v>
      </c>
      <c r="Y1500" s="168"/>
      <c r="Z1500" s="119" t="s">
        <v>79</v>
      </c>
      <c r="AA1500" s="168"/>
      <c r="AB1500" s="83" t="s">
        <v>80</v>
      </c>
      <c r="AC1500" s="166"/>
      <c r="AD1500" s="106" t="s">
        <v>3252</v>
      </c>
    </row>
    <row r="1501" spans="1:30" s="171" customFormat="1" ht="51">
      <c r="A1501" s="126"/>
      <c r="B1501" s="106" t="s">
        <v>3570</v>
      </c>
      <c r="C1501" s="172"/>
      <c r="D1501" s="106" t="s">
        <v>3568</v>
      </c>
      <c r="E1501" s="126"/>
      <c r="F1501" s="83" t="s">
        <v>254</v>
      </c>
      <c r="G1501" s="126"/>
      <c r="H1501" s="26" t="s">
        <v>116</v>
      </c>
      <c r="I1501" s="126"/>
      <c r="J1501" s="83" t="s">
        <v>659</v>
      </c>
      <c r="K1501" s="126"/>
      <c r="L1501" s="83" t="s">
        <v>737</v>
      </c>
      <c r="M1501" s="126"/>
      <c r="N1501" s="106" t="s">
        <v>96</v>
      </c>
      <c r="O1501" s="172"/>
      <c r="P1501" s="106" t="s">
        <v>3250</v>
      </c>
      <c r="Q1501" s="126"/>
      <c r="R1501" s="83" t="s">
        <v>77</v>
      </c>
      <c r="S1501" s="126"/>
      <c r="T1501" s="124" t="s">
        <v>3251</v>
      </c>
      <c r="U1501" s="166"/>
      <c r="V1501" s="83" t="s">
        <v>79</v>
      </c>
      <c r="W1501" s="166"/>
      <c r="X1501" s="83" t="s">
        <v>80</v>
      </c>
      <c r="Y1501" s="168"/>
      <c r="Z1501" s="119" t="s">
        <v>79</v>
      </c>
      <c r="AA1501" s="168"/>
      <c r="AB1501" s="83" t="s">
        <v>80</v>
      </c>
      <c r="AC1501" s="166"/>
      <c r="AD1501" s="106" t="s">
        <v>3252</v>
      </c>
    </row>
    <row r="1502" spans="1:30" s="171" customFormat="1" ht="51">
      <c r="A1502" s="126"/>
      <c r="B1502" s="106" t="s">
        <v>3571</v>
      </c>
      <c r="C1502" s="172"/>
      <c r="D1502" s="106" t="s">
        <v>3572</v>
      </c>
      <c r="E1502" s="126"/>
      <c r="F1502" s="83" t="s">
        <v>254</v>
      </c>
      <c r="G1502" s="126"/>
      <c r="H1502" s="26" t="s">
        <v>116</v>
      </c>
      <c r="I1502" s="126"/>
      <c r="J1502" s="83" t="s">
        <v>659</v>
      </c>
      <c r="K1502" s="126"/>
      <c r="L1502" s="83" t="s">
        <v>737</v>
      </c>
      <c r="M1502" s="126"/>
      <c r="N1502" s="106" t="s">
        <v>96</v>
      </c>
      <c r="O1502" s="172"/>
      <c r="P1502" s="106" t="s">
        <v>3250</v>
      </c>
      <c r="Q1502" s="126"/>
      <c r="R1502" s="83" t="s">
        <v>77</v>
      </c>
      <c r="S1502" s="126"/>
      <c r="T1502" s="124" t="s">
        <v>3251</v>
      </c>
      <c r="U1502" s="166"/>
      <c r="V1502" s="83" t="s">
        <v>79</v>
      </c>
      <c r="W1502" s="166"/>
      <c r="X1502" s="83" t="s">
        <v>80</v>
      </c>
      <c r="Y1502" s="168"/>
      <c r="Z1502" s="119" t="s">
        <v>79</v>
      </c>
      <c r="AA1502" s="168"/>
      <c r="AB1502" s="83" t="s">
        <v>80</v>
      </c>
      <c r="AC1502" s="166"/>
      <c r="AD1502" s="106" t="s">
        <v>3252</v>
      </c>
    </row>
    <row r="1503" spans="1:30" s="171" customFormat="1" ht="51">
      <c r="A1503" s="126"/>
      <c r="B1503" s="106" t="s">
        <v>3573</v>
      </c>
      <c r="C1503" s="172"/>
      <c r="D1503" s="106" t="s">
        <v>3271</v>
      </c>
      <c r="E1503" s="126"/>
      <c r="F1503" s="83" t="s">
        <v>254</v>
      </c>
      <c r="G1503" s="126"/>
      <c r="H1503" s="26" t="s">
        <v>116</v>
      </c>
      <c r="I1503" s="126"/>
      <c r="J1503" s="83" t="s">
        <v>659</v>
      </c>
      <c r="K1503" s="126"/>
      <c r="L1503" s="83" t="s">
        <v>737</v>
      </c>
      <c r="M1503" s="126"/>
      <c r="N1503" s="106" t="s">
        <v>96</v>
      </c>
      <c r="O1503" s="172"/>
      <c r="P1503" s="106" t="s">
        <v>3250</v>
      </c>
      <c r="Q1503" s="126"/>
      <c r="R1503" s="83" t="s">
        <v>77</v>
      </c>
      <c r="S1503" s="126"/>
      <c r="T1503" s="124" t="s">
        <v>3251</v>
      </c>
      <c r="U1503" s="166"/>
      <c r="V1503" s="83" t="s">
        <v>79</v>
      </c>
      <c r="W1503" s="166"/>
      <c r="X1503" s="83" t="s">
        <v>80</v>
      </c>
      <c r="Y1503" s="168"/>
      <c r="Z1503" s="119" t="s">
        <v>79</v>
      </c>
      <c r="AA1503" s="168"/>
      <c r="AB1503" s="83" t="s">
        <v>80</v>
      </c>
      <c r="AC1503" s="166"/>
      <c r="AD1503" s="106" t="s">
        <v>3252</v>
      </c>
    </row>
    <row r="1504" spans="1:30" s="171" customFormat="1" ht="51">
      <c r="A1504" s="126"/>
      <c r="B1504" s="106" t="s">
        <v>3574</v>
      </c>
      <c r="C1504" s="172"/>
      <c r="D1504" s="106" t="s">
        <v>3468</v>
      </c>
      <c r="E1504" s="126"/>
      <c r="F1504" s="83" t="s">
        <v>254</v>
      </c>
      <c r="G1504" s="126"/>
      <c r="H1504" s="26" t="s">
        <v>116</v>
      </c>
      <c r="I1504" s="126"/>
      <c r="J1504" s="83" t="s">
        <v>659</v>
      </c>
      <c r="K1504" s="126"/>
      <c r="L1504" s="83" t="s">
        <v>737</v>
      </c>
      <c r="M1504" s="126"/>
      <c r="N1504" s="106" t="s">
        <v>96</v>
      </c>
      <c r="O1504" s="172"/>
      <c r="P1504" s="106" t="s">
        <v>3250</v>
      </c>
      <c r="Q1504" s="126"/>
      <c r="R1504" s="83" t="s">
        <v>77</v>
      </c>
      <c r="S1504" s="126"/>
      <c r="T1504" s="124" t="s">
        <v>3251</v>
      </c>
      <c r="U1504" s="166"/>
      <c r="V1504" s="83" t="s">
        <v>79</v>
      </c>
      <c r="W1504" s="166"/>
      <c r="X1504" s="83" t="s">
        <v>80</v>
      </c>
      <c r="Y1504" s="168"/>
      <c r="Z1504" s="119" t="s">
        <v>79</v>
      </c>
      <c r="AA1504" s="168"/>
      <c r="AB1504" s="83" t="s">
        <v>80</v>
      </c>
      <c r="AC1504" s="166"/>
      <c r="AD1504" s="106" t="s">
        <v>3252</v>
      </c>
    </row>
    <row r="1505" spans="1:30" s="171" customFormat="1" ht="51">
      <c r="A1505" s="126"/>
      <c r="B1505" s="106" t="s">
        <v>3575</v>
      </c>
      <c r="C1505" s="172"/>
      <c r="D1505" s="106" t="s">
        <v>3315</v>
      </c>
      <c r="E1505" s="126"/>
      <c r="F1505" s="83" t="s">
        <v>254</v>
      </c>
      <c r="G1505" s="126"/>
      <c r="H1505" s="26" t="s">
        <v>116</v>
      </c>
      <c r="I1505" s="126"/>
      <c r="J1505" s="83" t="s">
        <v>659</v>
      </c>
      <c r="K1505" s="126"/>
      <c r="L1505" s="83" t="s">
        <v>737</v>
      </c>
      <c r="M1505" s="126"/>
      <c r="N1505" s="106" t="s">
        <v>96</v>
      </c>
      <c r="O1505" s="172"/>
      <c r="P1505" s="106" t="s">
        <v>3250</v>
      </c>
      <c r="Q1505" s="126"/>
      <c r="R1505" s="83" t="s">
        <v>77</v>
      </c>
      <c r="S1505" s="126"/>
      <c r="T1505" s="124" t="s">
        <v>3251</v>
      </c>
      <c r="U1505" s="166"/>
      <c r="V1505" s="83" t="s">
        <v>79</v>
      </c>
      <c r="W1505" s="166"/>
      <c r="X1505" s="83" t="s">
        <v>80</v>
      </c>
      <c r="Y1505" s="168"/>
      <c r="Z1505" s="119" t="s">
        <v>79</v>
      </c>
      <c r="AA1505" s="168"/>
      <c r="AB1505" s="83" t="s">
        <v>80</v>
      </c>
      <c r="AC1505" s="166"/>
      <c r="AD1505" s="106" t="s">
        <v>3252</v>
      </c>
    </row>
    <row r="1506" spans="1:30" s="171" customFormat="1" ht="51">
      <c r="A1506" s="126"/>
      <c r="B1506" s="106" t="s">
        <v>3576</v>
      </c>
      <c r="C1506" s="172"/>
      <c r="D1506" s="106" t="s">
        <v>3312</v>
      </c>
      <c r="E1506" s="126"/>
      <c r="F1506" s="83" t="s">
        <v>254</v>
      </c>
      <c r="G1506" s="126"/>
      <c r="H1506" s="26" t="s">
        <v>116</v>
      </c>
      <c r="I1506" s="126"/>
      <c r="J1506" s="83" t="s">
        <v>659</v>
      </c>
      <c r="K1506" s="126"/>
      <c r="L1506" s="83" t="s">
        <v>737</v>
      </c>
      <c r="M1506" s="126"/>
      <c r="N1506" s="106" t="s">
        <v>96</v>
      </c>
      <c r="O1506" s="172"/>
      <c r="P1506" s="106" t="s">
        <v>3250</v>
      </c>
      <c r="Q1506" s="126"/>
      <c r="R1506" s="83" t="s">
        <v>77</v>
      </c>
      <c r="S1506" s="126"/>
      <c r="T1506" s="124" t="s">
        <v>3251</v>
      </c>
      <c r="U1506" s="166"/>
      <c r="V1506" s="83" t="s">
        <v>79</v>
      </c>
      <c r="W1506" s="166"/>
      <c r="X1506" s="83" t="s">
        <v>80</v>
      </c>
      <c r="Y1506" s="168"/>
      <c r="Z1506" s="119" t="s">
        <v>79</v>
      </c>
      <c r="AA1506" s="168"/>
      <c r="AB1506" s="83" t="s">
        <v>80</v>
      </c>
      <c r="AC1506" s="166"/>
      <c r="AD1506" s="106" t="s">
        <v>3252</v>
      </c>
    </row>
    <row r="1507" spans="1:30" s="171" customFormat="1" ht="51">
      <c r="A1507" s="126"/>
      <c r="B1507" s="106" t="s">
        <v>3577</v>
      </c>
      <c r="C1507" s="172"/>
      <c r="D1507" s="106" t="s">
        <v>3529</v>
      </c>
      <c r="E1507" s="126"/>
      <c r="F1507" s="83" t="s">
        <v>254</v>
      </c>
      <c r="G1507" s="126"/>
      <c r="H1507" s="26" t="s">
        <v>116</v>
      </c>
      <c r="I1507" s="126"/>
      <c r="J1507" s="83" t="s">
        <v>659</v>
      </c>
      <c r="K1507" s="126"/>
      <c r="L1507" s="83" t="s">
        <v>737</v>
      </c>
      <c r="M1507" s="126"/>
      <c r="N1507" s="106" t="s">
        <v>96</v>
      </c>
      <c r="O1507" s="172"/>
      <c r="P1507" s="106" t="s">
        <v>3250</v>
      </c>
      <c r="Q1507" s="126"/>
      <c r="R1507" s="83" t="s">
        <v>77</v>
      </c>
      <c r="S1507" s="126"/>
      <c r="T1507" s="124" t="s">
        <v>3251</v>
      </c>
      <c r="U1507" s="166"/>
      <c r="V1507" s="83" t="s">
        <v>79</v>
      </c>
      <c r="W1507" s="166"/>
      <c r="X1507" s="83" t="s">
        <v>80</v>
      </c>
      <c r="Y1507" s="168"/>
      <c r="Z1507" s="119" t="s">
        <v>79</v>
      </c>
      <c r="AA1507" s="168"/>
      <c r="AB1507" s="83" t="s">
        <v>80</v>
      </c>
      <c r="AC1507" s="166"/>
      <c r="AD1507" s="106" t="s">
        <v>3252</v>
      </c>
    </row>
    <row r="1508" spans="1:30" s="171" customFormat="1" ht="51">
      <c r="A1508" s="126"/>
      <c r="B1508" s="106" t="s">
        <v>3578</v>
      </c>
      <c r="C1508" s="172"/>
      <c r="D1508" s="106" t="s">
        <v>3579</v>
      </c>
      <c r="E1508" s="126"/>
      <c r="F1508" s="83" t="s">
        <v>254</v>
      </c>
      <c r="G1508" s="126"/>
      <c r="H1508" s="26" t="s">
        <v>116</v>
      </c>
      <c r="I1508" s="126"/>
      <c r="J1508" s="83" t="s">
        <v>659</v>
      </c>
      <c r="K1508" s="126"/>
      <c r="L1508" s="83" t="s">
        <v>737</v>
      </c>
      <c r="M1508" s="126"/>
      <c r="N1508" s="106" t="s">
        <v>96</v>
      </c>
      <c r="O1508" s="172"/>
      <c r="P1508" s="106" t="s">
        <v>3250</v>
      </c>
      <c r="Q1508" s="126"/>
      <c r="R1508" s="83" t="s">
        <v>77</v>
      </c>
      <c r="S1508" s="126"/>
      <c r="T1508" s="124" t="s">
        <v>3251</v>
      </c>
      <c r="U1508" s="166"/>
      <c r="V1508" s="83" t="s">
        <v>79</v>
      </c>
      <c r="W1508" s="166"/>
      <c r="X1508" s="83" t="s">
        <v>80</v>
      </c>
      <c r="Y1508" s="168"/>
      <c r="Z1508" s="119" t="s">
        <v>79</v>
      </c>
      <c r="AA1508" s="168"/>
      <c r="AB1508" s="83" t="s">
        <v>80</v>
      </c>
      <c r="AC1508" s="166"/>
      <c r="AD1508" s="106" t="s">
        <v>3252</v>
      </c>
    </row>
    <row r="1509" spans="1:30" s="171" customFormat="1" ht="51">
      <c r="A1509" s="126"/>
      <c r="B1509" s="106" t="s">
        <v>3580</v>
      </c>
      <c r="C1509" s="172"/>
      <c r="D1509" s="106" t="s">
        <v>3287</v>
      </c>
      <c r="E1509" s="126"/>
      <c r="F1509" s="83" t="s">
        <v>254</v>
      </c>
      <c r="G1509" s="126"/>
      <c r="H1509" s="26" t="s">
        <v>116</v>
      </c>
      <c r="I1509" s="126"/>
      <c r="J1509" s="83" t="s">
        <v>659</v>
      </c>
      <c r="K1509" s="126"/>
      <c r="L1509" s="83" t="s">
        <v>737</v>
      </c>
      <c r="M1509" s="126"/>
      <c r="N1509" s="106" t="s">
        <v>96</v>
      </c>
      <c r="O1509" s="172"/>
      <c r="P1509" s="106" t="s">
        <v>3250</v>
      </c>
      <c r="Q1509" s="126"/>
      <c r="R1509" s="83" t="s">
        <v>77</v>
      </c>
      <c r="S1509" s="126"/>
      <c r="T1509" s="124" t="s">
        <v>3251</v>
      </c>
      <c r="U1509" s="166"/>
      <c r="V1509" s="83" t="s">
        <v>79</v>
      </c>
      <c r="W1509" s="166"/>
      <c r="X1509" s="83" t="s">
        <v>80</v>
      </c>
      <c r="Y1509" s="168"/>
      <c r="Z1509" s="119" t="s">
        <v>79</v>
      </c>
      <c r="AA1509" s="168"/>
      <c r="AB1509" s="83" t="s">
        <v>80</v>
      </c>
      <c r="AC1509" s="166"/>
      <c r="AD1509" s="106" t="s">
        <v>3252</v>
      </c>
    </row>
    <row r="1510" spans="1:30" s="171" customFormat="1" ht="51">
      <c r="A1510" s="126"/>
      <c r="B1510" s="106" t="s">
        <v>3581</v>
      </c>
      <c r="C1510" s="172"/>
      <c r="D1510" s="106" t="s">
        <v>3294</v>
      </c>
      <c r="E1510" s="126"/>
      <c r="F1510" s="83" t="s">
        <v>254</v>
      </c>
      <c r="G1510" s="126"/>
      <c r="H1510" s="26" t="s">
        <v>116</v>
      </c>
      <c r="I1510" s="126"/>
      <c r="J1510" s="83" t="s">
        <v>659</v>
      </c>
      <c r="K1510" s="126"/>
      <c r="L1510" s="83" t="s">
        <v>737</v>
      </c>
      <c r="M1510" s="126"/>
      <c r="N1510" s="106" t="s">
        <v>96</v>
      </c>
      <c r="O1510" s="172"/>
      <c r="P1510" s="106" t="s">
        <v>3250</v>
      </c>
      <c r="Q1510" s="126"/>
      <c r="R1510" s="83" t="s">
        <v>77</v>
      </c>
      <c r="S1510" s="126"/>
      <c r="T1510" s="124" t="s">
        <v>3251</v>
      </c>
      <c r="U1510" s="166"/>
      <c r="V1510" s="83" t="s">
        <v>79</v>
      </c>
      <c r="W1510" s="166"/>
      <c r="X1510" s="83" t="s">
        <v>80</v>
      </c>
      <c r="Y1510" s="168"/>
      <c r="Z1510" s="119" t="s">
        <v>79</v>
      </c>
      <c r="AA1510" s="168"/>
      <c r="AB1510" s="83" t="s">
        <v>80</v>
      </c>
      <c r="AC1510" s="166"/>
      <c r="AD1510" s="106" t="s">
        <v>3252</v>
      </c>
    </row>
    <row r="1511" spans="1:30" s="171" customFormat="1" ht="51">
      <c r="A1511" s="126"/>
      <c r="B1511" s="106" t="s">
        <v>3582</v>
      </c>
      <c r="C1511" s="172"/>
      <c r="D1511" s="106" t="s">
        <v>1434</v>
      </c>
      <c r="E1511" s="126"/>
      <c r="F1511" s="83" t="s">
        <v>254</v>
      </c>
      <c r="G1511" s="126"/>
      <c r="H1511" s="26" t="s">
        <v>116</v>
      </c>
      <c r="I1511" s="126"/>
      <c r="J1511" s="83" t="s">
        <v>659</v>
      </c>
      <c r="K1511" s="126"/>
      <c r="L1511" s="83" t="s">
        <v>737</v>
      </c>
      <c r="M1511" s="126"/>
      <c r="N1511" s="106" t="s">
        <v>96</v>
      </c>
      <c r="O1511" s="172"/>
      <c r="P1511" s="106" t="s">
        <v>3250</v>
      </c>
      <c r="Q1511" s="126"/>
      <c r="R1511" s="83" t="s">
        <v>77</v>
      </c>
      <c r="S1511" s="126"/>
      <c r="T1511" s="124" t="s">
        <v>3251</v>
      </c>
      <c r="U1511" s="166"/>
      <c r="V1511" s="83" t="s">
        <v>79</v>
      </c>
      <c r="W1511" s="166"/>
      <c r="X1511" s="83" t="s">
        <v>80</v>
      </c>
      <c r="Y1511" s="168"/>
      <c r="Z1511" s="119" t="s">
        <v>79</v>
      </c>
      <c r="AA1511" s="168"/>
      <c r="AB1511" s="83" t="s">
        <v>80</v>
      </c>
      <c r="AC1511" s="166"/>
      <c r="AD1511" s="106" t="s">
        <v>3252</v>
      </c>
    </row>
    <row r="1512" spans="1:30" s="171" customFormat="1" ht="51">
      <c r="A1512" s="126"/>
      <c r="B1512" s="106" t="s">
        <v>3583</v>
      </c>
      <c r="C1512" s="172"/>
      <c r="D1512" s="106" t="s">
        <v>3279</v>
      </c>
      <c r="E1512" s="126"/>
      <c r="F1512" s="83" t="s">
        <v>123</v>
      </c>
      <c r="G1512" s="126"/>
      <c r="H1512" s="26" t="s">
        <v>116</v>
      </c>
      <c r="I1512" s="126"/>
      <c r="J1512" s="83" t="s">
        <v>659</v>
      </c>
      <c r="K1512" s="126"/>
      <c r="L1512" s="83" t="s">
        <v>737</v>
      </c>
      <c r="M1512" s="126"/>
      <c r="N1512" s="106" t="s">
        <v>96</v>
      </c>
      <c r="O1512" s="172"/>
      <c r="P1512" s="106" t="s">
        <v>3250</v>
      </c>
      <c r="Q1512" s="126"/>
      <c r="R1512" s="83" t="s">
        <v>77</v>
      </c>
      <c r="S1512" s="126"/>
      <c r="T1512" s="124" t="s">
        <v>3251</v>
      </c>
      <c r="U1512" s="166"/>
      <c r="V1512" s="83" t="s">
        <v>79</v>
      </c>
      <c r="W1512" s="166"/>
      <c r="X1512" s="83" t="s">
        <v>80</v>
      </c>
      <c r="Y1512" s="168"/>
      <c r="Z1512" s="119" t="s">
        <v>79</v>
      </c>
      <c r="AA1512" s="168"/>
      <c r="AB1512" s="83" t="s">
        <v>80</v>
      </c>
      <c r="AC1512" s="166"/>
      <c r="AD1512" s="106" t="s">
        <v>3252</v>
      </c>
    </row>
    <row r="1513" spans="1:30" s="171" customFormat="1" ht="51">
      <c r="A1513" s="126"/>
      <c r="B1513" s="106" t="s">
        <v>3584</v>
      </c>
      <c r="C1513" s="172"/>
      <c r="D1513" s="106" t="s">
        <v>3568</v>
      </c>
      <c r="E1513" s="126"/>
      <c r="F1513" s="83" t="s">
        <v>254</v>
      </c>
      <c r="G1513" s="126"/>
      <c r="H1513" s="26" t="s">
        <v>116</v>
      </c>
      <c r="I1513" s="126"/>
      <c r="J1513" s="83" t="s">
        <v>659</v>
      </c>
      <c r="K1513" s="126"/>
      <c r="L1513" s="83" t="s">
        <v>737</v>
      </c>
      <c r="M1513" s="126"/>
      <c r="N1513" s="106" t="s">
        <v>96</v>
      </c>
      <c r="O1513" s="172"/>
      <c r="P1513" s="106" t="s">
        <v>3250</v>
      </c>
      <c r="Q1513" s="126"/>
      <c r="R1513" s="83" t="s">
        <v>77</v>
      </c>
      <c r="S1513" s="126"/>
      <c r="T1513" s="124" t="s">
        <v>3251</v>
      </c>
      <c r="U1513" s="166"/>
      <c r="V1513" s="83" t="s">
        <v>79</v>
      </c>
      <c r="W1513" s="166"/>
      <c r="X1513" s="83" t="s">
        <v>80</v>
      </c>
      <c r="Y1513" s="168"/>
      <c r="Z1513" s="119" t="s">
        <v>79</v>
      </c>
      <c r="AA1513" s="168"/>
      <c r="AB1513" s="83" t="s">
        <v>80</v>
      </c>
      <c r="AC1513" s="166"/>
      <c r="AD1513" s="106" t="s">
        <v>3252</v>
      </c>
    </row>
    <row r="1514" spans="1:30" s="171" customFormat="1" ht="51">
      <c r="A1514" s="126"/>
      <c r="B1514" s="106" t="s">
        <v>3585</v>
      </c>
      <c r="C1514" s="172"/>
      <c r="D1514" s="106" t="s">
        <v>702</v>
      </c>
      <c r="E1514" s="126"/>
      <c r="F1514" s="83" t="s">
        <v>370</v>
      </c>
      <c r="G1514" s="126"/>
      <c r="H1514" s="26" t="s">
        <v>116</v>
      </c>
      <c r="I1514" s="126"/>
      <c r="J1514" s="83" t="s">
        <v>659</v>
      </c>
      <c r="K1514" s="126"/>
      <c r="L1514" s="83" t="s">
        <v>737</v>
      </c>
      <c r="M1514" s="126"/>
      <c r="N1514" s="106" t="s">
        <v>96</v>
      </c>
      <c r="O1514" s="172"/>
      <c r="P1514" s="106" t="s">
        <v>3250</v>
      </c>
      <c r="Q1514" s="126"/>
      <c r="R1514" s="83" t="s">
        <v>77</v>
      </c>
      <c r="S1514" s="126"/>
      <c r="T1514" s="124" t="s">
        <v>3251</v>
      </c>
      <c r="U1514" s="166"/>
      <c r="V1514" s="83" t="s">
        <v>79</v>
      </c>
      <c r="W1514" s="166"/>
      <c r="X1514" s="83" t="s">
        <v>80</v>
      </c>
      <c r="Y1514" s="168"/>
      <c r="Z1514" s="119" t="s">
        <v>79</v>
      </c>
      <c r="AA1514" s="168"/>
      <c r="AB1514" s="83" t="s">
        <v>80</v>
      </c>
      <c r="AC1514" s="166"/>
      <c r="AD1514" s="106" t="s">
        <v>3252</v>
      </c>
    </row>
    <row r="1515" spans="1:30" s="171" customFormat="1" ht="51">
      <c r="A1515" s="126"/>
      <c r="B1515" s="106" t="s">
        <v>3586</v>
      </c>
      <c r="C1515" s="172"/>
      <c r="D1515" s="106" t="s">
        <v>1434</v>
      </c>
      <c r="E1515" s="126"/>
      <c r="F1515" s="83" t="s">
        <v>254</v>
      </c>
      <c r="G1515" s="126"/>
      <c r="H1515" s="26" t="s">
        <v>116</v>
      </c>
      <c r="I1515" s="126"/>
      <c r="J1515" s="83" t="s">
        <v>659</v>
      </c>
      <c r="K1515" s="126"/>
      <c r="L1515" s="83" t="s">
        <v>737</v>
      </c>
      <c r="M1515" s="126"/>
      <c r="N1515" s="106" t="s">
        <v>96</v>
      </c>
      <c r="O1515" s="172"/>
      <c r="P1515" s="106" t="s">
        <v>3250</v>
      </c>
      <c r="Q1515" s="126"/>
      <c r="R1515" s="83" t="s">
        <v>77</v>
      </c>
      <c r="S1515" s="126"/>
      <c r="T1515" s="124" t="s">
        <v>3251</v>
      </c>
      <c r="U1515" s="166"/>
      <c r="V1515" s="83" t="s">
        <v>79</v>
      </c>
      <c r="W1515" s="166"/>
      <c r="X1515" s="83" t="s">
        <v>80</v>
      </c>
      <c r="Y1515" s="168"/>
      <c r="Z1515" s="119" t="s">
        <v>79</v>
      </c>
      <c r="AA1515" s="168"/>
      <c r="AB1515" s="83" t="s">
        <v>80</v>
      </c>
      <c r="AC1515" s="166"/>
      <c r="AD1515" s="106" t="s">
        <v>3252</v>
      </c>
    </row>
    <row r="1516" spans="1:30" s="171" customFormat="1" ht="51">
      <c r="A1516" s="126"/>
      <c r="B1516" s="106" t="s">
        <v>3587</v>
      </c>
      <c r="C1516" s="172"/>
      <c r="D1516" s="106" t="s">
        <v>3315</v>
      </c>
      <c r="E1516" s="126"/>
      <c r="F1516" s="83" t="s">
        <v>254</v>
      </c>
      <c r="G1516" s="126"/>
      <c r="H1516" s="26" t="s">
        <v>116</v>
      </c>
      <c r="I1516" s="126"/>
      <c r="J1516" s="83" t="s">
        <v>659</v>
      </c>
      <c r="K1516" s="126"/>
      <c r="L1516" s="83" t="s">
        <v>737</v>
      </c>
      <c r="M1516" s="126"/>
      <c r="N1516" s="106" t="s">
        <v>96</v>
      </c>
      <c r="O1516" s="172"/>
      <c r="P1516" s="106" t="s">
        <v>3250</v>
      </c>
      <c r="Q1516" s="126"/>
      <c r="R1516" s="83" t="s">
        <v>77</v>
      </c>
      <c r="S1516" s="126"/>
      <c r="T1516" s="124" t="s">
        <v>3251</v>
      </c>
      <c r="U1516" s="166"/>
      <c r="V1516" s="83" t="s">
        <v>79</v>
      </c>
      <c r="W1516" s="166"/>
      <c r="X1516" s="83" t="s">
        <v>80</v>
      </c>
      <c r="Y1516" s="168"/>
      <c r="Z1516" s="119" t="s">
        <v>79</v>
      </c>
      <c r="AA1516" s="168"/>
      <c r="AB1516" s="83" t="s">
        <v>80</v>
      </c>
      <c r="AC1516" s="166"/>
      <c r="AD1516" s="106" t="s">
        <v>3252</v>
      </c>
    </row>
    <row r="1517" spans="1:30" s="171" customFormat="1" ht="51">
      <c r="A1517" s="126"/>
      <c r="B1517" s="106" t="s">
        <v>3588</v>
      </c>
      <c r="C1517" s="172"/>
      <c r="D1517" s="106" t="s">
        <v>702</v>
      </c>
      <c r="E1517" s="126"/>
      <c r="F1517" s="83" t="s">
        <v>370</v>
      </c>
      <c r="G1517" s="126"/>
      <c r="H1517" s="26" t="s">
        <v>116</v>
      </c>
      <c r="I1517" s="126"/>
      <c r="J1517" s="83" t="s">
        <v>659</v>
      </c>
      <c r="K1517" s="126"/>
      <c r="L1517" s="83" t="s">
        <v>737</v>
      </c>
      <c r="M1517" s="126"/>
      <c r="N1517" s="106" t="s">
        <v>96</v>
      </c>
      <c r="O1517" s="172"/>
      <c r="P1517" s="106" t="s">
        <v>3250</v>
      </c>
      <c r="Q1517" s="126"/>
      <c r="R1517" s="83" t="s">
        <v>77</v>
      </c>
      <c r="S1517" s="126"/>
      <c r="T1517" s="124" t="s">
        <v>3251</v>
      </c>
      <c r="U1517" s="166"/>
      <c r="V1517" s="83" t="s">
        <v>79</v>
      </c>
      <c r="W1517" s="166"/>
      <c r="X1517" s="83" t="s">
        <v>80</v>
      </c>
      <c r="Y1517" s="168"/>
      <c r="Z1517" s="119" t="s">
        <v>79</v>
      </c>
      <c r="AA1517" s="168"/>
      <c r="AB1517" s="83" t="s">
        <v>80</v>
      </c>
      <c r="AC1517" s="166"/>
      <c r="AD1517" s="106" t="s">
        <v>3252</v>
      </c>
    </row>
    <row r="1518" spans="1:30" s="171" customFormat="1" ht="51">
      <c r="A1518" s="126"/>
      <c r="B1518" s="106" t="s">
        <v>3589</v>
      </c>
      <c r="C1518" s="172"/>
      <c r="D1518" s="106" t="s">
        <v>3271</v>
      </c>
      <c r="E1518" s="126"/>
      <c r="F1518" s="83" t="s">
        <v>254</v>
      </c>
      <c r="G1518" s="126"/>
      <c r="H1518" s="26" t="s">
        <v>116</v>
      </c>
      <c r="I1518" s="126"/>
      <c r="J1518" s="83" t="s">
        <v>659</v>
      </c>
      <c r="K1518" s="126"/>
      <c r="L1518" s="83" t="s">
        <v>737</v>
      </c>
      <c r="M1518" s="126"/>
      <c r="N1518" s="106" t="s">
        <v>96</v>
      </c>
      <c r="O1518" s="172"/>
      <c r="P1518" s="106" t="s">
        <v>3250</v>
      </c>
      <c r="Q1518" s="126"/>
      <c r="R1518" s="83" t="s">
        <v>77</v>
      </c>
      <c r="S1518" s="126"/>
      <c r="T1518" s="124" t="s">
        <v>3251</v>
      </c>
      <c r="U1518" s="166"/>
      <c r="V1518" s="83" t="s">
        <v>79</v>
      </c>
      <c r="W1518" s="166"/>
      <c r="X1518" s="83" t="s">
        <v>80</v>
      </c>
      <c r="Y1518" s="168"/>
      <c r="Z1518" s="119" t="s">
        <v>79</v>
      </c>
      <c r="AA1518" s="168"/>
      <c r="AB1518" s="83" t="s">
        <v>80</v>
      </c>
      <c r="AC1518" s="166"/>
      <c r="AD1518" s="106" t="s">
        <v>3252</v>
      </c>
    </row>
    <row r="1519" spans="1:30" s="171" customFormat="1" ht="51">
      <c r="A1519" s="126"/>
      <c r="B1519" s="106" t="s">
        <v>3590</v>
      </c>
      <c r="C1519" s="172"/>
      <c r="D1519" s="106" t="s">
        <v>2875</v>
      </c>
      <c r="E1519" s="126"/>
      <c r="F1519" s="83" t="s">
        <v>123</v>
      </c>
      <c r="G1519" s="126"/>
      <c r="H1519" s="26" t="s">
        <v>116</v>
      </c>
      <c r="I1519" s="126"/>
      <c r="J1519" s="83" t="s">
        <v>659</v>
      </c>
      <c r="K1519" s="126"/>
      <c r="L1519" s="83" t="s">
        <v>737</v>
      </c>
      <c r="M1519" s="126"/>
      <c r="N1519" s="106" t="s">
        <v>96</v>
      </c>
      <c r="O1519" s="172"/>
      <c r="P1519" s="106" t="s">
        <v>3250</v>
      </c>
      <c r="Q1519" s="126"/>
      <c r="R1519" s="83" t="s">
        <v>77</v>
      </c>
      <c r="S1519" s="126"/>
      <c r="T1519" s="124" t="s">
        <v>3251</v>
      </c>
      <c r="U1519" s="166"/>
      <c r="V1519" s="83" t="s">
        <v>79</v>
      </c>
      <c r="W1519" s="166"/>
      <c r="X1519" s="83" t="s">
        <v>80</v>
      </c>
      <c r="Y1519" s="168"/>
      <c r="Z1519" s="119" t="s">
        <v>79</v>
      </c>
      <c r="AA1519" s="168"/>
      <c r="AB1519" s="83" t="s">
        <v>80</v>
      </c>
      <c r="AC1519" s="166"/>
      <c r="AD1519" s="106" t="s">
        <v>3252</v>
      </c>
    </row>
    <row r="1520" spans="1:30" s="171" customFormat="1" ht="51">
      <c r="A1520" s="126"/>
      <c r="B1520" s="106" t="s">
        <v>3591</v>
      </c>
      <c r="C1520" s="172"/>
      <c r="D1520" s="106" t="s">
        <v>3294</v>
      </c>
      <c r="E1520" s="126"/>
      <c r="F1520" s="83" t="s">
        <v>254</v>
      </c>
      <c r="G1520" s="126"/>
      <c r="H1520" s="26" t="s">
        <v>116</v>
      </c>
      <c r="I1520" s="126"/>
      <c r="J1520" s="83" t="s">
        <v>659</v>
      </c>
      <c r="K1520" s="126"/>
      <c r="L1520" s="83" t="s">
        <v>737</v>
      </c>
      <c r="M1520" s="126"/>
      <c r="N1520" s="106" t="s">
        <v>96</v>
      </c>
      <c r="O1520" s="172"/>
      <c r="P1520" s="106" t="s">
        <v>3250</v>
      </c>
      <c r="Q1520" s="126"/>
      <c r="R1520" s="83" t="s">
        <v>77</v>
      </c>
      <c r="S1520" s="126"/>
      <c r="T1520" s="124" t="s">
        <v>3251</v>
      </c>
      <c r="U1520" s="166"/>
      <c r="V1520" s="83" t="s">
        <v>79</v>
      </c>
      <c r="W1520" s="166"/>
      <c r="X1520" s="83" t="s">
        <v>80</v>
      </c>
      <c r="Y1520" s="168"/>
      <c r="Z1520" s="119" t="s">
        <v>79</v>
      </c>
      <c r="AA1520" s="168"/>
      <c r="AB1520" s="83" t="s">
        <v>80</v>
      </c>
      <c r="AC1520" s="166"/>
      <c r="AD1520" s="106" t="s">
        <v>3252</v>
      </c>
    </row>
    <row r="1521" spans="1:31" s="177" customFormat="1" ht="36.950000000000003" customHeight="1">
      <c r="A1521" s="138"/>
      <c r="B1521" s="146" t="s">
        <v>3592</v>
      </c>
      <c r="C1521" s="173"/>
      <c r="D1521" s="146" t="s">
        <v>3306</v>
      </c>
      <c r="E1521" s="138"/>
      <c r="F1521" s="148" t="s">
        <v>254</v>
      </c>
      <c r="G1521" s="138"/>
      <c r="H1521" s="133" t="s">
        <v>116</v>
      </c>
      <c r="I1521" s="138"/>
      <c r="J1521" s="148" t="s">
        <v>659</v>
      </c>
      <c r="K1521" s="138"/>
      <c r="L1521" s="148" t="s">
        <v>737</v>
      </c>
      <c r="M1521" s="138"/>
      <c r="N1521" s="146" t="s">
        <v>96</v>
      </c>
      <c r="O1521" s="173"/>
      <c r="P1521" s="146" t="s">
        <v>3250</v>
      </c>
      <c r="Q1521" s="138"/>
      <c r="R1521" s="148" t="s">
        <v>77</v>
      </c>
      <c r="S1521" s="138"/>
      <c r="T1521" s="124" t="s">
        <v>3251</v>
      </c>
      <c r="U1521" s="175"/>
      <c r="V1521" s="83" t="s">
        <v>79</v>
      </c>
      <c r="W1521" s="166"/>
      <c r="X1521" s="83" t="s">
        <v>80</v>
      </c>
      <c r="Y1521" s="176"/>
      <c r="Z1521" s="119" t="s">
        <v>79</v>
      </c>
      <c r="AA1521" s="168"/>
      <c r="AB1521" s="83" t="s">
        <v>80</v>
      </c>
      <c r="AC1521" s="175"/>
      <c r="AD1521" s="106" t="s">
        <v>3252</v>
      </c>
      <c r="AE1521" s="171"/>
    </row>
    <row r="1522" spans="1:31" s="171" customFormat="1" ht="51">
      <c r="A1522" s="126"/>
      <c r="B1522" s="106" t="s">
        <v>3593</v>
      </c>
      <c r="C1522" s="172"/>
      <c r="D1522" s="106" t="s">
        <v>702</v>
      </c>
      <c r="E1522" s="126"/>
      <c r="F1522" s="83" t="s">
        <v>370</v>
      </c>
      <c r="G1522" s="126"/>
      <c r="H1522" s="26" t="s">
        <v>116</v>
      </c>
      <c r="I1522" s="126"/>
      <c r="J1522" s="83" t="s">
        <v>659</v>
      </c>
      <c r="K1522" s="126"/>
      <c r="L1522" s="83" t="s">
        <v>737</v>
      </c>
      <c r="M1522" s="126"/>
      <c r="N1522" s="106" t="s">
        <v>96</v>
      </c>
      <c r="O1522" s="172"/>
      <c r="P1522" s="106" t="s">
        <v>3250</v>
      </c>
      <c r="Q1522" s="126"/>
      <c r="R1522" s="83" t="s">
        <v>77</v>
      </c>
      <c r="S1522" s="126"/>
      <c r="T1522" s="124" t="s">
        <v>3251</v>
      </c>
      <c r="U1522" s="166"/>
      <c r="V1522" s="83" t="s">
        <v>79</v>
      </c>
      <c r="W1522" s="166"/>
      <c r="X1522" s="83" t="s">
        <v>80</v>
      </c>
      <c r="Y1522" s="168"/>
      <c r="Z1522" s="119" t="s">
        <v>79</v>
      </c>
      <c r="AA1522" s="168"/>
      <c r="AB1522" s="83" t="s">
        <v>80</v>
      </c>
      <c r="AC1522" s="166"/>
      <c r="AD1522" s="106" t="s">
        <v>3252</v>
      </c>
    </row>
    <row r="1523" spans="1:31" s="171" customFormat="1" ht="51">
      <c r="A1523" s="126"/>
      <c r="B1523" s="106" t="s">
        <v>3594</v>
      </c>
      <c r="C1523" s="172"/>
      <c r="D1523" s="106" t="s">
        <v>3294</v>
      </c>
      <c r="E1523" s="126"/>
      <c r="F1523" s="83" t="s">
        <v>254</v>
      </c>
      <c r="G1523" s="126"/>
      <c r="H1523" s="26" t="s">
        <v>116</v>
      </c>
      <c r="I1523" s="126"/>
      <c r="J1523" s="83" t="s">
        <v>659</v>
      </c>
      <c r="K1523" s="126"/>
      <c r="L1523" s="83" t="s">
        <v>737</v>
      </c>
      <c r="M1523" s="126"/>
      <c r="N1523" s="106" t="s">
        <v>96</v>
      </c>
      <c r="O1523" s="172"/>
      <c r="P1523" s="106" t="s">
        <v>3250</v>
      </c>
      <c r="Q1523" s="126"/>
      <c r="R1523" s="83" t="s">
        <v>77</v>
      </c>
      <c r="S1523" s="126"/>
      <c r="T1523" s="124" t="s">
        <v>3251</v>
      </c>
      <c r="U1523" s="166"/>
      <c r="V1523" s="83" t="s">
        <v>79</v>
      </c>
      <c r="W1523" s="166"/>
      <c r="X1523" s="83" t="s">
        <v>80</v>
      </c>
      <c r="Y1523" s="168"/>
      <c r="Z1523" s="119" t="s">
        <v>79</v>
      </c>
      <c r="AA1523" s="168"/>
      <c r="AB1523" s="83" t="s">
        <v>80</v>
      </c>
      <c r="AC1523" s="166"/>
      <c r="AD1523" s="106" t="s">
        <v>3252</v>
      </c>
      <c r="AE1523" s="177"/>
    </row>
    <row r="1524" spans="1:31" s="171" customFormat="1" ht="51">
      <c r="A1524" s="126"/>
      <c r="B1524" s="106" t="s">
        <v>3595</v>
      </c>
      <c r="C1524" s="172"/>
      <c r="D1524" s="106" t="s">
        <v>2480</v>
      </c>
      <c r="E1524" s="126"/>
      <c r="F1524" s="23" t="s">
        <v>363</v>
      </c>
      <c r="G1524" s="126"/>
      <c r="H1524" s="26" t="s">
        <v>116</v>
      </c>
      <c r="I1524" s="126"/>
      <c r="J1524" s="83" t="s">
        <v>659</v>
      </c>
      <c r="K1524" s="126"/>
      <c r="L1524" s="83" t="s">
        <v>737</v>
      </c>
      <c r="M1524" s="126"/>
      <c r="N1524" s="106" t="s">
        <v>96</v>
      </c>
      <c r="O1524" s="172"/>
      <c r="P1524" s="106" t="s">
        <v>3250</v>
      </c>
      <c r="Q1524" s="126"/>
      <c r="R1524" s="83" t="s">
        <v>77</v>
      </c>
      <c r="S1524" s="126"/>
      <c r="T1524" s="124" t="s">
        <v>3251</v>
      </c>
      <c r="U1524" s="166"/>
      <c r="V1524" s="83" t="s">
        <v>79</v>
      </c>
      <c r="W1524" s="166"/>
      <c r="X1524" s="83" t="s">
        <v>80</v>
      </c>
      <c r="Y1524" s="168"/>
      <c r="Z1524" s="119" t="s">
        <v>79</v>
      </c>
      <c r="AA1524" s="168"/>
      <c r="AB1524" s="83" t="s">
        <v>80</v>
      </c>
      <c r="AC1524" s="166"/>
      <c r="AD1524" s="106" t="s">
        <v>3252</v>
      </c>
    </row>
    <row r="1525" spans="1:31" s="171" customFormat="1" ht="51">
      <c r="A1525" s="126"/>
      <c r="B1525" s="106" t="s">
        <v>3596</v>
      </c>
      <c r="C1525" s="172"/>
      <c r="D1525" s="106" t="s">
        <v>3468</v>
      </c>
      <c r="E1525" s="126"/>
      <c r="F1525" s="83" t="s">
        <v>254</v>
      </c>
      <c r="G1525" s="126"/>
      <c r="H1525" s="26" t="s">
        <v>116</v>
      </c>
      <c r="I1525" s="126"/>
      <c r="J1525" s="83" t="s">
        <v>659</v>
      </c>
      <c r="K1525" s="126"/>
      <c r="L1525" s="83" t="s">
        <v>737</v>
      </c>
      <c r="M1525" s="126"/>
      <c r="N1525" s="106" t="s">
        <v>96</v>
      </c>
      <c r="O1525" s="172"/>
      <c r="P1525" s="106" t="s">
        <v>3250</v>
      </c>
      <c r="Q1525" s="126"/>
      <c r="R1525" s="83" t="s">
        <v>77</v>
      </c>
      <c r="S1525" s="126"/>
      <c r="T1525" s="124" t="s">
        <v>3251</v>
      </c>
      <c r="U1525" s="166"/>
      <c r="V1525" s="83" t="s">
        <v>79</v>
      </c>
      <c r="W1525" s="166"/>
      <c r="X1525" s="83" t="s">
        <v>80</v>
      </c>
      <c r="Y1525" s="168"/>
      <c r="Z1525" s="119" t="s">
        <v>79</v>
      </c>
      <c r="AA1525" s="168"/>
      <c r="AB1525" s="83" t="s">
        <v>80</v>
      </c>
      <c r="AC1525" s="166"/>
      <c r="AD1525" s="106" t="s">
        <v>3252</v>
      </c>
    </row>
    <row r="1526" spans="1:31" s="171" customFormat="1" ht="51">
      <c r="A1526" s="126"/>
      <c r="B1526" s="106" t="s">
        <v>3597</v>
      </c>
      <c r="C1526" s="172"/>
      <c r="D1526" s="106" t="s">
        <v>3579</v>
      </c>
      <c r="E1526" s="126"/>
      <c r="F1526" s="83" t="s">
        <v>254</v>
      </c>
      <c r="G1526" s="126"/>
      <c r="H1526" s="26" t="s">
        <v>116</v>
      </c>
      <c r="I1526" s="126"/>
      <c r="J1526" s="83" t="s">
        <v>659</v>
      </c>
      <c r="K1526" s="126"/>
      <c r="L1526" s="83" t="s">
        <v>737</v>
      </c>
      <c r="M1526" s="126"/>
      <c r="N1526" s="106" t="s">
        <v>96</v>
      </c>
      <c r="O1526" s="172"/>
      <c r="P1526" s="106" t="s">
        <v>3250</v>
      </c>
      <c r="Q1526" s="126"/>
      <c r="R1526" s="83" t="s">
        <v>77</v>
      </c>
      <c r="S1526" s="126"/>
      <c r="T1526" s="124" t="s">
        <v>3251</v>
      </c>
      <c r="U1526" s="166"/>
      <c r="V1526" s="83" t="s">
        <v>79</v>
      </c>
      <c r="W1526" s="166"/>
      <c r="X1526" s="83" t="s">
        <v>80</v>
      </c>
      <c r="Y1526" s="168"/>
      <c r="Z1526" s="119" t="s">
        <v>79</v>
      </c>
      <c r="AA1526" s="168"/>
      <c r="AB1526" s="83" t="s">
        <v>80</v>
      </c>
      <c r="AC1526" s="166"/>
      <c r="AD1526" s="106" t="s">
        <v>3252</v>
      </c>
    </row>
    <row r="1527" spans="1:31" s="171" customFormat="1" ht="51">
      <c r="A1527" s="126"/>
      <c r="B1527" s="106" t="s">
        <v>3598</v>
      </c>
      <c r="C1527" s="172"/>
      <c r="D1527" s="106" t="s">
        <v>3579</v>
      </c>
      <c r="E1527" s="126"/>
      <c r="F1527" s="83" t="s">
        <v>254</v>
      </c>
      <c r="G1527" s="126"/>
      <c r="H1527" s="26" t="s">
        <v>116</v>
      </c>
      <c r="I1527" s="126"/>
      <c r="J1527" s="83" t="s">
        <v>659</v>
      </c>
      <c r="K1527" s="126"/>
      <c r="L1527" s="83" t="s">
        <v>737</v>
      </c>
      <c r="M1527" s="126"/>
      <c r="N1527" s="106" t="s">
        <v>96</v>
      </c>
      <c r="O1527" s="172"/>
      <c r="P1527" s="106" t="s">
        <v>3250</v>
      </c>
      <c r="Q1527" s="126"/>
      <c r="R1527" s="83" t="s">
        <v>77</v>
      </c>
      <c r="S1527" s="126"/>
      <c r="T1527" s="124" t="s">
        <v>3251</v>
      </c>
      <c r="U1527" s="166"/>
      <c r="V1527" s="83" t="s">
        <v>79</v>
      </c>
      <c r="W1527" s="166"/>
      <c r="X1527" s="83" t="s">
        <v>80</v>
      </c>
      <c r="Y1527" s="168"/>
      <c r="Z1527" s="119" t="s">
        <v>79</v>
      </c>
      <c r="AA1527" s="168"/>
      <c r="AB1527" s="83" t="s">
        <v>80</v>
      </c>
      <c r="AC1527" s="166"/>
      <c r="AD1527" s="106" t="s">
        <v>3252</v>
      </c>
    </row>
    <row r="1528" spans="1:31" s="171" customFormat="1" ht="51">
      <c r="A1528" s="126"/>
      <c r="B1528" s="106" t="s">
        <v>3599</v>
      </c>
      <c r="C1528" s="172"/>
      <c r="D1528" s="106" t="s">
        <v>3600</v>
      </c>
      <c r="E1528" s="126"/>
      <c r="F1528" s="83" t="s">
        <v>254</v>
      </c>
      <c r="G1528" s="126"/>
      <c r="H1528" s="26" t="s">
        <v>116</v>
      </c>
      <c r="I1528" s="126"/>
      <c r="J1528" s="83" t="s">
        <v>659</v>
      </c>
      <c r="K1528" s="126"/>
      <c r="L1528" s="83" t="s">
        <v>737</v>
      </c>
      <c r="M1528" s="126"/>
      <c r="N1528" s="106" t="s">
        <v>96</v>
      </c>
      <c r="O1528" s="172"/>
      <c r="P1528" s="106" t="s">
        <v>3250</v>
      </c>
      <c r="Q1528" s="126"/>
      <c r="R1528" s="83" t="s">
        <v>77</v>
      </c>
      <c r="S1528" s="126"/>
      <c r="T1528" s="124" t="s">
        <v>3251</v>
      </c>
      <c r="U1528" s="166"/>
      <c r="V1528" s="83" t="s">
        <v>79</v>
      </c>
      <c r="W1528" s="166"/>
      <c r="X1528" s="83" t="s">
        <v>80</v>
      </c>
      <c r="Y1528" s="168"/>
      <c r="Z1528" s="119" t="s">
        <v>79</v>
      </c>
      <c r="AA1528" s="168"/>
      <c r="AB1528" s="83" t="s">
        <v>80</v>
      </c>
      <c r="AC1528" s="166"/>
      <c r="AD1528" s="106" t="s">
        <v>3252</v>
      </c>
    </row>
    <row r="1529" spans="1:31" s="171" customFormat="1" ht="51">
      <c r="A1529" s="126"/>
      <c r="B1529" s="106" t="s">
        <v>3601</v>
      </c>
      <c r="C1529" s="172"/>
      <c r="D1529" s="106" t="s">
        <v>71</v>
      </c>
      <c r="E1529" s="126"/>
      <c r="F1529" s="83" t="s">
        <v>71</v>
      </c>
      <c r="G1529" s="126"/>
      <c r="H1529" s="26" t="s">
        <v>116</v>
      </c>
      <c r="I1529" s="126"/>
      <c r="J1529" s="83" t="s">
        <v>659</v>
      </c>
      <c r="K1529" s="126"/>
      <c r="L1529" s="83" t="s">
        <v>737</v>
      </c>
      <c r="M1529" s="126"/>
      <c r="N1529" s="106" t="s">
        <v>96</v>
      </c>
      <c r="O1529" s="172"/>
      <c r="P1529" s="106" t="s">
        <v>3250</v>
      </c>
      <c r="Q1529" s="126"/>
      <c r="R1529" s="83" t="s">
        <v>77</v>
      </c>
      <c r="S1529" s="126"/>
      <c r="T1529" s="124" t="s">
        <v>3251</v>
      </c>
      <c r="U1529" s="166"/>
      <c r="V1529" s="83" t="s">
        <v>79</v>
      </c>
      <c r="W1529" s="166"/>
      <c r="X1529" s="83" t="s">
        <v>80</v>
      </c>
      <c r="Y1529" s="168"/>
      <c r="Z1529" s="119" t="s">
        <v>79</v>
      </c>
      <c r="AA1529" s="168"/>
      <c r="AB1529" s="83" t="s">
        <v>80</v>
      </c>
      <c r="AC1529" s="166"/>
      <c r="AD1529" s="106" t="s">
        <v>3252</v>
      </c>
    </row>
    <row r="1530" spans="1:31" s="171" customFormat="1" ht="51">
      <c r="A1530" s="126"/>
      <c r="B1530" s="106" t="s">
        <v>3602</v>
      </c>
      <c r="C1530" s="172"/>
      <c r="D1530" s="106" t="s">
        <v>3255</v>
      </c>
      <c r="E1530" s="126"/>
      <c r="F1530" s="83" t="s">
        <v>254</v>
      </c>
      <c r="G1530" s="126"/>
      <c r="H1530" s="26" t="s">
        <v>116</v>
      </c>
      <c r="I1530" s="126"/>
      <c r="J1530" s="83" t="s">
        <v>659</v>
      </c>
      <c r="K1530" s="126"/>
      <c r="L1530" s="83" t="s">
        <v>737</v>
      </c>
      <c r="M1530" s="126"/>
      <c r="N1530" s="106" t="s">
        <v>96</v>
      </c>
      <c r="O1530" s="172"/>
      <c r="P1530" s="106" t="s">
        <v>3250</v>
      </c>
      <c r="Q1530" s="126"/>
      <c r="R1530" s="83" t="s">
        <v>77</v>
      </c>
      <c r="S1530" s="126"/>
      <c r="T1530" s="124" t="s">
        <v>3251</v>
      </c>
      <c r="U1530" s="166"/>
      <c r="V1530" s="83" t="s">
        <v>79</v>
      </c>
      <c r="W1530" s="166"/>
      <c r="X1530" s="83" t="s">
        <v>80</v>
      </c>
      <c r="Y1530" s="168"/>
      <c r="Z1530" s="119" t="s">
        <v>79</v>
      </c>
      <c r="AA1530" s="168"/>
      <c r="AB1530" s="83" t="s">
        <v>80</v>
      </c>
      <c r="AC1530" s="166"/>
      <c r="AD1530" s="106" t="s">
        <v>3252</v>
      </c>
    </row>
    <row r="1531" spans="1:31" s="171" customFormat="1" ht="51">
      <c r="A1531" s="126"/>
      <c r="B1531" s="106" t="s">
        <v>3603</v>
      </c>
      <c r="C1531" s="172"/>
      <c r="D1531" s="106" t="s">
        <v>1434</v>
      </c>
      <c r="E1531" s="126"/>
      <c r="F1531" s="83" t="s">
        <v>254</v>
      </c>
      <c r="G1531" s="126"/>
      <c r="H1531" s="26" t="s">
        <v>116</v>
      </c>
      <c r="I1531" s="126"/>
      <c r="J1531" s="83" t="s">
        <v>659</v>
      </c>
      <c r="K1531" s="126"/>
      <c r="L1531" s="83" t="s">
        <v>737</v>
      </c>
      <c r="M1531" s="126"/>
      <c r="N1531" s="106" t="s">
        <v>96</v>
      </c>
      <c r="O1531" s="172"/>
      <c r="P1531" s="106" t="s">
        <v>3250</v>
      </c>
      <c r="Q1531" s="126"/>
      <c r="R1531" s="83" t="s">
        <v>77</v>
      </c>
      <c r="S1531" s="126"/>
      <c r="T1531" s="124" t="s">
        <v>3251</v>
      </c>
      <c r="U1531" s="166"/>
      <c r="V1531" s="83" t="s">
        <v>79</v>
      </c>
      <c r="W1531" s="166"/>
      <c r="X1531" s="83" t="s">
        <v>80</v>
      </c>
      <c r="Y1531" s="168"/>
      <c r="Z1531" s="119" t="s">
        <v>79</v>
      </c>
      <c r="AA1531" s="168"/>
      <c r="AB1531" s="83" t="s">
        <v>80</v>
      </c>
      <c r="AC1531" s="166"/>
      <c r="AD1531" s="106" t="s">
        <v>3252</v>
      </c>
    </row>
    <row r="1532" spans="1:31" s="171" customFormat="1" ht="51">
      <c r="A1532" s="126"/>
      <c r="B1532" s="106" t="s">
        <v>3604</v>
      </c>
      <c r="C1532" s="172"/>
      <c r="D1532" s="106" t="s">
        <v>3605</v>
      </c>
      <c r="E1532" s="126"/>
      <c r="F1532" s="83" t="s">
        <v>254</v>
      </c>
      <c r="G1532" s="126"/>
      <c r="H1532" s="26" t="s">
        <v>116</v>
      </c>
      <c r="I1532" s="126"/>
      <c r="J1532" s="83" t="s">
        <v>659</v>
      </c>
      <c r="K1532" s="126"/>
      <c r="L1532" s="83" t="s">
        <v>737</v>
      </c>
      <c r="M1532" s="126"/>
      <c r="N1532" s="106" t="s">
        <v>96</v>
      </c>
      <c r="O1532" s="172"/>
      <c r="P1532" s="106" t="s">
        <v>3250</v>
      </c>
      <c r="Q1532" s="126"/>
      <c r="R1532" s="83" t="s">
        <v>77</v>
      </c>
      <c r="S1532" s="126"/>
      <c r="T1532" s="124" t="s">
        <v>3251</v>
      </c>
      <c r="U1532" s="166"/>
      <c r="V1532" s="83" t="s">
        <v>79</v>
      </c>
      <c r="W1532" s="166"/>
      <c r="X1532" s="83" t="s">
        <v>80</v>
      </c>
      <c r="Y1532" s="168"/>
      <c r="Z1532" s="119" t="s">
        <v>79</v>
      </c>
      <c r="AA1532" s="168"/>
      <c r="AB1532" s="83" t="s">
        <v>80</v>
      </c>
      <c r="AC1532" s="166"/>
      <c r="AD1532" s="106" t="s">
        <v>3252</v>
      </c>
    </row>
    <row r="1533" spans="1:31" s="171" customFormat="1" ht="51">
      <c r="A1533" s="126"/>
      <c r="B1533" s="106" t="s">
        <v>3606</v>
      </c>
      <c r="C1533" s="172"/>
      <c r="D1533" s="106" t="s">
        <v>3607</v>
      </c>
      <c r="E1533" s="126"/>
      <c r="F1533" s="83" t="s">
        <v>254</v>
      </c>
      <c r="G1533" s="126"/>
      <c r="H1533" s="26" t="s">
        <v>116</v>
      </c>
      <c r="I1533" s="126"/>
      <c r="J1533" s="83" t="s">
        <v>659</v>
      </c>
      <c r="K1533" s="126"/>
      <c r="L1533" s="83" t="s">
        <v>737</v>
      </c>
      <c r="M1533" s="126"/>
      <c r="N1533" s="106" t="s">
        <v>96</v>
      </c>
      <c r="O1533" s="172"/>
      <c r="P1533" s="106" t="s">
        <v>3250</v>
      </c>
      <c r="Q1533" s="126"/>
      <c r="R1533" s="83" t="s">
        <v>77</v>
      </c>
      <c r="S1533" s="126"/>
      <c r="T1533" s="124" t="s">
        <v>3251</v>
      </c>
      <c r="U1533" s="166"/>
      <c r="V1533" s="83" t="s">
        <v>79</v>
      </c>
      <c r="W1533" s="166"/>
      <c r="X1533" s="83" t="s">
        <v>80</v>
      </c>
      <c r="Y1533" s="168"/>
      <c r="Z1533" s="119" t="s">
        <v>79</v>
      </c>
      <c r="AA1533" s="168"/>
      <c r="AB1533" s="83" t="s">
        <v>80</v>
      </c>
      <c r="AC1533" s="166"/>
      <c r="AD1533" s="106" t="s">
        <v>3252</v>
      </c>
    </row>
    <row r="1534" spans="1:31" s="171" customFormat="1" ht="51">
      <c r="A1534" s="126"/>
      <c r="B1534" s="106" t="s">
        <v>3608</v>
      </c>
      <c r="C1534" s="172"/>
      <c r="D1534" s="106" t="s">
        <v>3572</v>
      </c>
      <c r="E1534" s="126"/>
      <c r="F1534" s="83" t="s">
        <v>254</v>
      </c>
      <c r="G1534" s="126"/>
      <c r="H1534" s="26" t="s">
        <v>116</v>
      </c>
      <c r="I1534" s="126"/>
      <c r="J1534" s="83" t="s">
        <v>659</v>
      </c>
      <c r="K1534" s="126"/>
      <c r="L1534" s="83" t="s">
        <v>737</v>
      </c>
      <c r="M1534" s="126"/>
      <c r="N1534" s="106" t="s">
        <v>96</v>
      </c>
      <c r="O1534" s="172"/>
      <c r="P1534" s="106" t="s">
        <v>3250</v>
      </c>
      <c r="Q1534" s="126"/>
      <c r="R1534" s="83" t="s">
        <v>77</v>
      </c>
      <c r="S1534" s="126"/>
      <c r="T1534" s="124" t="s">
        <v>3251</v>
      </c>
      <c r="U1534" s="166"/>
      <c r="V1534" s="83" t="s">
        <v>79</v>
      </c>
      <c r="W1534" s="166"/>
      <c r="X1534" s="83" t="s">
        <v>80</v>
      </c>
      <c r="Y1534" s="168"/>
      <c r="Z1534" s="119" t="s">
        <v>79</v>
      </c>
      <c r="AA1534" s="168"/>
      <c r="AB1534" s="83" t="s">
        <v>80</v>
      </c>
      <c r="AC1534" s="166"/>
      <c r="AD1534" s="106" t="s">
        <v>3252</v>
      </c>
    </row>
    <row r="1535" spans="1:31" s="171" customFormat="1" ht="51">
      <c r="A1535" s="126"/>
      <c r="B1535" s="106" t="s">
        <v>3609</v>
      </c>
      <c r="C1535" s="172"/>
      <c r="D1535" s="106" t="s">
        <v>3315</v>
      </c>
      <c r="E1535" s="126"/>
      <c r="F1535" s="83" t="s">
        <v>254</v>
      </c>
      <c r="G1535" s="126"/>
      <c r="H1535" s="26" t="s">
        <v>116</v>
      </c>
      <c r="I1535" s="126"/>
      <c r="J1535" s="83" t="s">
        <v>659</v>
      </c>
      <c r="K1535" s="126"/>
      <c r="L1535" s="83" t="s">
        <v>737</v>
      </c>
      <c r="M1535" s="126"/>
      <c r="N1535" s="106" t="s">
        <v>96</v>
      </c>
      <c r="O1535" s="172"/>
      <c r="P1535" s="106" t="s">
        <v>3250</v>
      </c>
      <c r="Q1535" s="126"/>
      <c r="R1535" s="83" t="s">
        <v>77</v>
      </c>
      <c r="S1535" s="126"/>
      <c r="T1535" s="124" t="s">
        <v>3251</v>
      </c>
      <c r="U1535" s="166"/>
      <c r="V1535" s="83" t="s">
        <v>79</v>
      </c>
      <c r="W1535" s="166"/>
      <c r="X1535" s="83" t="s">
        <v>80</v>
      </c>
      <c r="Y1535" s="168"/>
      <c r="Z1535" s="119" t="s">
        <v>79</v>
      </c>
      <c r="AA1535" s="168"/>
      <c r="AB1535" s="83" t="s">
        <v>80</v>
      </c>
      <c r="AC1535" s="166"/>
      <c r="AD1535" s="106" t="s">
        <v>3252</v>
      </c>
    </row>
    <row r="1536" spans="1:31" s="171" customFormat="1" ht="51">
      <c r="A1536" s="126"/>
      <c r="B1536" s="106" t="s">
        <v>3610</v>
      </c>
      <c r="C1536" s="172"/>
      <c r="D1536" s="106" t="s">
        <v>3605</v>
      </c>
      <c r="E1536" s="126"/>
      <c r="F1536" s="83" t="s">
        <v>254</v>
      </c>
      <c r="G1536" s="126"/>
      <c r="H1536" s="26" t="s">
        <v>116</v>
      </c>
      <c r="I1536" s="126"/>
      <c r="J1536" s="83" t="s">
        <v>659</v>
      </c>
      <c r="K1536" s="126"/>
      <c r="L1536" s="83" t="s">
        <v>737</v>
      </c>
      <c r="M1536" s="126"/>
      <c r="N1536" s="106" t="s">
        <v>96</v>
      </c>
      <c r="O1536" s="172"/>
      <c r="P1536" s="106" t="s">
        <v>3250</v>
      </c>
      <c r="Q1536" s="126"/>
      <c r="R1536" s="83" t="s">
        <v>77</v>
      </c>
      <c r="S1536" s="126"/>
      <c r="T1536" s="124" t="s">
        <v>3251</v>
      </c>
      <c r="U1536" s="166"/>
      <c r="V1536" s="83" t="s">
        <v>79</v>
      </c>
      <c r="W1536" s="166"/>
      <c r="X1536" s="83" t="s">
        <v>80</v>
      </c>
      <c r="Y1536" s="168"/>
      <c r="Z1536" s="119" t="s">
        <v>79</v>
      </c>
      <c r="AA1536" s="168"/>
      <c r="AB1536" s="83" t="s">
        <v>80</v>
      </c>
      <c r="AC1536" s="166"/>
      <c r="AD1536" s="106" t="s">
        <v>3252</v>
      </c>
    </row>
    <row r="1537" spans="1:30" s="171" customFormat="1" ht="51">
      <c r="A1537" s="126"/>
      <c r="B1537" s="106" t="s">
        <v>3611</v>
      </c>
      <c r="C1537" s="172"/>
      <c r="D1537" s="106" t="s">
        <v>3612</v>
      </c>
      <c r="E1537" s="126"/>
      <c r="F1537" s="83" t="s">
        <v>254</v>
      </c>
      <c r="G1537" s="126"/>
      <c r="H1537" s="26" t="s">
        <v>116</v>
      </c>
      <c r="I1537" s="126"/>
      <c r="J1537" s="83" t="s">
        <v>659</v>
      </c>
      <c r="K1537" s="126"/>
      <c r="L1537" s="83" t="s">
        <v>737</v>
      </c>
      <c r="M1537" s="126"/>
      <c r="N1537" s="106" t="s">
        <v>96</v>
      </c>
      <c r="O1537" s="172"/>
      <c r="P1537" s="106" t="s">
        <v>3250</v>
      </c>
      <c r="Q1537" s="126"/>
      <c r="R1537" s="83" t="s">
        <v>77</v>
      </c>
      <c r="S1537" s="126"/>
      <c r="T1537" s="124" t="s">
        <v>3251</v>
      </c>
      <c r="U1537" s="166"/>
      <c r="V1537" s="83" t="s">
        <v>79</v>
      </c>
      <c r="W1537" s="166"/>
      <c r="X1537" s="83" t="s">
        <v>80</v>
      </c>
      <c r="Y1537" s="168"/>
      <c r="Z1537" s="119" t="s">
        <v>79</v>
      </c>
      <c r="AA1537" s="168"/>
      <c r="AB1537" s="83" t="s">
        <v>80</v>
      </c>
      <c r="AC1537" s="166"/>
      <c r="AD1537" s="106" t="s">
        <v>3252</v>
      </c>
    </row>
    <row r="1538" spans="1:30" s="171" customFormat="1" ht="51">
      <c r="A1538" s="126"/>
      <c r="B1538" s="106" t="s">
        <v>3613</v>
      </c>
      <c r="C1538" s="172"/>
      <c r="D1538" s="106" t="s">
        <v>3255</v>
      </c>
      <c r="E1538" s="126"/>
      <c r="F1538" s="83" t="s">
        <v>254</v>
      </c>
      <c r="G1538" s="126"/>
      <c r="H1538" s="26" t="s">
        <v>116</v>
      </c>
      <c r="I1538" s="126"/>
      <c r="J1538" s="83" t="s">
        <v>659</v>
      </c>
      <c r="K1538" s="126"/>
      <c r="L1538" s="83" t="s">
        <v>737</v>
      </c>
      <c r="M1538" s="126"/>
      <c r="N1538" s="106" t="s">
        <v>96</v>
      </c>
      <c r="O1538" s="172"/>
      <c r="P1538" s="106" t="s">
        <v>3250</v>
      </c>
      <c r="Q1538" s="126"/>
      <c r="R1538" s="83" t="s">
        <v>77</v>
      </c>
      <c r="S1538" s="126"/>
      <c r="T1538" s="124" t="s">
        <v>3251</v>
      </c>
      <c r="U1538" s="166"/>
      <c r="V1538" s="83" t="s">
        <v>79</v>
      </c>
      <c r="W1538" s="166"/>
      <c r="X1538" s="83" t="s">
        <v>80</v>
      </c>
      <c r="Y1538" s="168"/>
      <c r="Z1538" s="119" t="s">
        <v>79</v>
      </c>
      <c r="AA1538" s="168"/>
      <c r="AB1538" s="83" t="s">
        <v>80</v>
      </c>
      <c r="AC1538" s="166"/>
      <c r="AD1538" s="106" t="s">
        <v>3252</v>
      </c>
    </row>
    <row r="1539" spans="1:30" s="171" customFormat="1" ht="51">
      <c r="A1539" s="126"/>
      <c r="B1539" s="106" t="s">
        <v>3614</v>
      </c>
      <c r="C1539" s="172"/>
      <c r="D1539" s="106" t="s">
        <v>1434</v>
      </c>
      <c r="E1539" s="126"/>
      <c r="F1539" s="83" t="s">
        <v>254</v>
      </c>
      <c r="G1539" s="126"/>
      <c r="H1539" s="26" t="s">
        <v>116</v>
      </c>
      <c r="I1539" s="126"/>
      <c r="J1539" s="83" t="s">
        <v>659</v>
      </c>
      <c r="K1539" s="126"/>
      <c r="L1539" s="83" t="s">
        <v>737</v>
      </c>
      <c r="M1539" s="126"/>
      <c r="N1539" s="106" t="s">
        <v>96</v>
      </c>
      <c r="O1539" s="172"/>
      <c r="P1539" s="106" t="s">
        <v>3250</v>
      </c>
      <c r="Q1539" s="126"/>
      <c r="R1539" s="83" t="s">
        <v>77</v>
      </c>
      <c r="S1539" s="126"/>
      <c r="T1539" s="124" t="s">
        <v>3251</v>
      </c>
      <c r="U1539" s="166"/>
      <c r="V1539" s="83" t="s">
        <v>79</v>
      </c>
      <c r="W1539" s="166"/>
      <c r="X1539" s="83" t="s">
        <v>80</v>
      </c>
      <c r="Y1539" s="168"/>
      <c r="Z1539" s="119" t="s">
        <v>79</v>
      </c>
      <c r="AA1539" s="168"/>
      <c r="AB1539" s="83" t="s">
        <v>80</v>
      </c>
      <c r="AC1539" s="166"/>
      <c r="AD1539" s="106" t="s">
        <v>3252</v>
      </c>
    </row>
    <row r="1540" spans="1:30" s="171" customFormat="1" ht="51">
      <c r="A1540" s="126"/>
      <c r="B1540" s="106" t="s">
        <v>3615</v>
      </c>
      <c r="C1540" s="172"/>
      <c r="D1540" s="106" t="s">
        <v>71</v>
      </c>
      <c r="E1540" s="126"/>
      <c r="F1540" s="83" t="s">
        <v>71</v>
      </c>
      <c r="G1540" s="126"/>
      <c r="H1540" s="26" t="s">
        <v>116</v>
      </c>
      <c r="I1540" s="126"/>
      <c r="J1540" s="83" t="s">
        <v>659</v>
      </c>
      <c r="K1540" s="126"/>
      <c r="L1540" s="83" t="s">
        <v>737</v>
      </c>
      <c r="M1540" s="126"/>
      <c r="N1540" s="106" t="s">
        <v>96</v>
      </c>
      <c r="O1540" s="172"/>
      <c r="P1540" s="106" t="s">
        <v>3250</v>
      </c>
      <c r="Q1540" s="126"/>
      <c r="R1540" s="83" t="s">
        <v>77</v>
      </c>
      <c r="S1540" s="126"/>
      <c r="T1540" s="124" t="s">
        <v>3251</v>
      </c>
      <c r="U1540" s="166"/>
      <c r="V1540" s="83" t="s">
        <v>79</v>
      </c>
      <c r="W1540" s="166"/>
      <c r="X1540" s="83" t="s">
        <v>80</v>
      </c>
      <c r="Y1540" s="168"/>
      <c r="Z1540" s="119" t="s">
        <v>79</v>
      </c>
      <c r="AA1540" s="168"/>
      <c r="AB1540" s="83" t="s">
        <v>80</v>
      </c>
      <c r="AC1540" s="166"/>
      <c r="AD1540" s="106" t="s">
        <v>3252</v>
      </c>
    </row>
    <row r="1541" spans="1:30" s="171" customFormat="1" ht="51">
      <c r="A1541" s="126"/>
      <c r="B1541" s="106" t="s">
        <v>3616</v>
      </c>
      <c r="C1541" s="172"/>
      <c r="D1541" s="106" t="s">
        <v>71</v>
      </c>
      <c r="E1541" s="126"/>
      <c r="F1541" s="83" t="s">
        <v>71</v>
      </c>
      <c r="G1541" s="126"/>
      <c r="H1541" s="26" t="s">
        <v>116</v>
      </c>
      <c r="I1541" s="126"/>
      <c r="J1541" s="83" t="s">
        <v>659</v>
      </c>
      <c r="K1541" s="126"/>
      <c r="L1541" s="83" t="s">
        <v>737</v>
      </c>
      <c r="M1541" s="126"/>
      <c r="N1541" s="106" t="s">
        <v>96</v>
      </c>
      <c r="O1541" s="172"/>
      <c r="P1541" s="106" t="s">
        <v>3250</v>
      </c>
      <c r="Q1541" s="126"/>
      <c r="R1541" s="83" t="s">
        <v>77</v>
      </c>
      <c r="S1541" s="126"/>
      <c r="T1541" s="124" t="s">
        <v>3251</v>
      </c>
      <c r="U1541" s="166"/>
      <c r="V1541" s="83" t="s">
        <v>79</v>
      </c>
      <c r="W1541" s="166"/>
      <c r="X1541" s="83" t="s">
        <v>80</v>
      </c>
      <c r="Y1541" s="168"/>
      <c r="Z1541" s="119" t="s">
        <v>79</v>
      </c>
      <c r="AA1541" s="168"/>
      <c r="AB1541" s="83" t="s">
        <v>80</v>
      </c>
      <c r="AC1541" s="166"/>
      <c r="AD1541" s="106" t="s">
        <v>3252</v>
      </c>
    </row>
    <row r="1542" spans="1:30" s="171" customFormat="1" ht="51">
      <c r="A1542" s="126"/>
      <c r="B1542" s="106" t="s">
        <v>3617</v>
      </c>
      <c r="C1542" s="172"/>
      <c r="D1542" s="106" t="s">
        <v>3294</v>
      </c>
      <c r="E1542" s="126"/>
      <c r="F1542" s="83" t="s">
        <v>254</v>
      </c>
      <c r="G1542" s="126"/>
      <c r="H1542" s="26" t="s">
        <v>116</v>
      </c>
      <c r="I1542" s="126"/>
      <c r="J1542" s="83" t="s">
        <v>659</v>
      </c>
      <c r="K1542" s="126"/>
      <c r="L1542" s="83" t="s">
        <v>737</v>
      </c>
      <c r="M1542" s="126"/>
      <c r="N1542" s="106" t="s">
        <v>96</v>
      </c>
      <c r="O1542" s="172"/>
      <c r="P1542" s="106" t="s">
        <v>3250</v>
      </c>
      <c r="Q1542" s="126"/>
      <c r="R1542" s="83" t="s">
        <v>77</v>
      </c>
      <c r="S1542" s="126"/>
      <c r="T1542" s="124" t="s">
        <v>3251</v>
      </c>
      <c r="U1542" s="166"/>
      <c r="V1542" s="83" t="s">
        <v>79</v>
      </c>
      <c r="W1542" s="166"/>
      <c r="X1542" s="83" t="s">
        <v>80</v>
      </c>
      <c r="Y1542" s="168"/>
      <c r="Z1542" s="119" t="s">
        <v>79</v>
      </c>
      <c r="AA1542" s="168"/>
      <c r="AB1542" s="83" t="s">
        <v>80</v>
      </c>
      <c r="AC1542" s="166"/>
      <c r="AD1542" s="106" t="s">
        <v>3252</v>
      </c>
    </row>
    <row r="1543" spans="1:30" s="171" customFormat="1" ht="51">
      <c r="A1543" s="126"/>
      <c r="B1543" s="106" t="s">
        <v>3618</v>
      </c>
      <c r="C1543" s="172"/>
      <c r="D1543" s="106" t="s">
        <v>702</v>
      </c>
      <c r="E1543" s="126"/>
      <c r="F1543" s="83" t="s">
        <v>370</v>
      </c>
      <c r="G1543" s="126"/>
      <c r="H1543" s="26" t="s">
        <v>116</v>
      </c>
      <c r="I1543" s="126"/>
      <c r="J1543" s="83" t="s">
        <v>659</v>
      </c>
      <c r="K1543" s="126"/>
      <c r="L1543" s="83" t="s">
        <v>737</v>
      </c>
      <c r="M1543" s="126"/>
      <c r="N1543" s="106" t="s">
        <v>96</v>
      </c>
      <c r="O1543" s="172"/>
      <c r="P1543" s="106" t="s">
        <v>3250</v>
      </c>
      <c r="Q1543" s="126"/>
      <c r="R1543" s="83" t="s">
        <v>77</v>
      </c>
      <c r="S1543" s="126"/>
      <c r="T1543" s="124" t="s">
        <v>3251</v>
      </c>
      <c r="U1543" s="166"/>
      <c r="V1543" s="83" t="s">
        <v>79</v>
      </c>
      <c r="W1543" s="166"/>
      <c r="X1543" s="83" t="s">
        <v>80</v>
      </c>
      <c r="Y1543" s="168"/>
      <c r="Z1543" s="119" t="s">
        <v>79</v>
      </c>
      <c r="AA1543" s="168"/>
      <c r="AB1543" s="83" t="s">
        <v>80</v>
      </c>
      <c r="AC1543" s="166"/>
      <c r="AD1543" s="106" t="s">
        <v>3252</v>
      </c>
    </row>
    <row r="1544" spans="1:30" s="171" customFormat="1" ht="51">
      <c r="A1544" s="126"/>
      <c r="B1544" s="106" t="s">
        <v>3619</v>
      </c>
      <c r="C1544" s="172"/>
      <c r="D1544" s="106" t="s">
        <v>1434</v>
      </c>
      <c r="E1544" s="126"/>
      <c r="F1544" s="83" t="s">
        <v>254</v>
      </c>
      <c r="G1544" s="126"/>
      <c r="H1544" s="26" t="s">
        <v>116</v>
      </c>
      <c r="I1544" s="126"/>
      <c r="J1544" s="83" t="s">
        <v>659</v>
      </c>
      <c r="K1544" s="126"/>
      <c r="L1544" s="83" t="s">
        <v>737</v>
      </c>
      <c r="M1544" s="126"/>
      <c r="N1544" s="106" t="s">
        <v>96</v>
      </c>
      <c r="O1544" s="172"/>
      <c r="P1544" s="106" t="s">
        <v>3250</v>
      </c>
      <c r="Q1544" s="126"/>
      <c r="R1544" s="83" t="s">
        <v>77</v>
      </c>
      <c r="S1544" s="126"/>
      <c r="T1544" s="124" t="s">
        <v>3251</v>
      </c>
      <c r="U1544" s="166"/>
      <c r="V1544" s="83" t="s">
        <v>79</v>
      </c>
      <c r="W1544" s="166"/>
      <c r="X1544" s="83" t="s">
        <v>80</v>
      </c>
      <c r="Y1544" s="168"/>
      <c r="Z1544" s="119" t="s">
        <v>79</v>
      </c>
      <c r="AA1544" s="168"/>
      <c r="AB1544" s="83" t="s">
        <v>80</v>
      </c>
      <c r="AC1544" s="166"/>
      <c r="AD1544" s="106" t="s">
        <v>3252</v>
      </c>
    </row>
    <row r="1545" spans="1:30" s="171" customFormat="1" ht="51">
      <c r="A1545" s="126"/>
      <c r="B1545" s="106" t="s">
        <v>3620</v>
      </c>
      <c r="C1545" s="172"/>
      <c r="D1545" s="106" t="s">
        <v>2480</v>
      </c>
      <c r="E1545" s="126"/>
      <c r="F1545" s="23" t="s">
        <v>363</v>
      </c>
      <c r="G1545" s="126"/>
      <c r="H1545" s="26" t="s">
        <v>116</v>
      </c>
      <c r="I1545" s="126"/>
      <c r="J1545" s="83" t="s">
        <v>659</v>
      </c>
      <c r="K1545" s="126"/>
      <c r="L1545" s="83" t="s">
        <v>737</v>
      </c>
      <c r="M1545" s="126"/>
      <c r="N1545" s="106" t="s">
        <v>96</v>
      </c>
      <c r="O1545" s="172"/>
      <c r="P1545" s="106" t="s">
        <v>3250</v>
      </c>
      <c r="Q1545" s="126"/>
      <c r="R1545" s="83" t="s">
        <v>77</v>
      </c>
      <c r="S1545" s="126"/>
      <c r="T1545" s="124" t="s">
        <v>3251</v>
      </c>
      <c r="U1545" s="166"/>
      <c r="V1545" s="83" t="s">
        <v>79</v>
      </c>
      <c r="W1545" s="166"/>
      <c r="X1545" s="83" t="s">
        <v>80</v>
      </c>
      <c r="Y1545" s="168"/>
      <c r="Z1545" s="119" t="s">
        <v>79</v>
      </c>
      <c r="AA1545" s="168"/>
      <c r="AB1545" s="83" t="s">
        <v>80</v>
      </c>
      <c r="AC1545" s="166"/>
      <c r="AD1545" s="106" t="s">
        <v>3252</v>
      </c>
    </row>
    <row r="1546" spans="1:30" s="171" customFormat="1" ht="51">
      <c r="A1546" s="126"/>
      <c r="B1546" s="106" t="s">
        <v>3621</v>
      </c>
      <c r="C1546" s="172"/>
      <c r="D1546" s="106" t="s">
        <v>3622</v>
      </c>
      <c r="E1546" s="126"/>
      <c r="F1546" s="83" t="s">
        <v>254</v>
      </c>
      <c r="G1546" s="126"/>
      <c r="H1546" s="26" t="s">
        <v>116</v>
      </c>
      <c r="I1546" s="126"/>
      <c r="J1546" s="83" t="s">
        <v>659</v>
      </c>
      <c r="K1546" s="126"/>
      <c r="L1546" s="83" t="s">
        <v>737</v>
      </c>
      <c r="M1546" s="126"/>
      <c r="N1546" s="106" t="s">
        <v>96</v>
      </c>
      <c r="O1546" s="172"/>
      <c r="P1546" s="106" t="s">
        <v>3250</v>
      </c>
      <c r="Q1546" s="126"/>
      <c r="R1546" s="83" t="s">
        <v>77</v>
      </c>
      <c r="S1546" s="126"/>
      <c r="T1546" s="124" t="s">
        <v>3251</v>
      </c>
      <c r="U1546" s="166"/>
      <c r="V1546" s="83" t="s">
        <v>79</v>
      </c>
      <c r="W1546" s="166"/>
      <c r="X1546" s="83" t="s">
        <v>80</v>
      </c>
      <c r="Y1546" s="168"/>
      <c r="Z1546" s="119" t="s">
        <v>79</v>
      </c>
      <c r="AA1546" s="168"/>
      <c r="AB1546" s="83" t="s">
        <v>80</v>
      </c>
      <c r="AC1546" s="166"/>
      <c r="AD1546" s="106" t="s">
        <v>3252</v>
      </c>
    </row>
    <row r="1547" spans="1:30" s="171" customFormat="1" ht="51">
      <c r="A1547" s="126"/>
      <c r="B1547" s="106" t="s">
        <v>3623</v>
      </c>
      <c r="C1547" s="172"/>
      <c r="D1547" s="106" t="s">
        <v>3622</v>
      </c>
      <c r="E1547" s="126"/>
      <c r="F1547" s="83" t="s">
        <v>254</v>
      </c>
      <c r="G1547" s="126"/>
      <c r="H1547" s="26" t="s">
        <v>116</v>
      </c>
      <c r="I1547" s="126"/>
      <c r="J1547" s="83" t="s">
        <v>659</v>
      </c>
      <c r="K1547" s="126"/>
      <c r="L1547" s="83" t="s">
        <v>737</v>
      </c>
      <c r="M1547" s="126"/>
      <c r="N1547" s="106" t="s">
        <v>96</v>
      </c>
      <c r="O1547" s="172"/>
      <c r="P1547" s="106" t="s">
        <v>3250</v>
      </c>
      <c r="Q1547" s="126"/>
      <c r="R1547" s="83" t="s">
        <v>77</v>
      </c>
      <c r="S1547" s="126"/>
      <c r="T1547" s="124" t="s">
        <v>3251</v>
      </c>
      <c r="U1547" s="166"/>
      <c r="V1547" s="83" t="s">
        <v>79</v>
      </c>
      <c r="W1547" s="166"/>
      <c r="X1547" s="83" t="s">
        <v>80</v>
      </c>
      <c r="Y1547" s="168"/>
      <c r="Z1547" s="119" t="s">
        <v>79</v>
      </c>
      <c r="AA1547" s="168"/>
      <c r="AB1547" s="83" t="s">
        <v>80</v>
      </c>
      <c r="AC1547" s="166"/>
      <c r="AD1547" s="106" t="s">
        <v>3252</v>
      </c>
    </row>
    <row r="1548" spans="1:30" s="171" customFormat="1" ht="51">
      <c r="A1548" s="126"/>
      <c r="B1548" s="106" t="s">
        <v>3624</v>
      </c>
      <c r="C1548" s="172"/>
      <c r="D1548" s="106" t="s">
        <v>3297</v>
      </c>
      <c r="E1548" s="126"/>
      <c r="F1548" s="83" t="s">
        <v>254</v>
      </c>
      <c r="G1548" s="126"/>
      <c r="H1548" s="26" t="s">
        <v>116</v>
      </c>
      <c r="I1548" s="126"/>
      <c r="J1548" s="83" t="s">
        <v>659</v>
      </c>
      <c r="K1548" s="126"/>
      <c r="L1548" s="83" t="s">
        <v>737</v>
      </c>
      <c r="M1548" s="126"/>
      <c r="N1548" s="106" t="s">
        <v>96</v>
      </c>
      <c r="O1548" s="172"/>
      <c r="P1548" s="106" t="s">
        <v>3250</v>
      </c>
      <c r="Q1548" s="126"/>
      <c r="R1548" s="83" t="s">
        <v>77</v>
      </c>
      <c r="S1548" s="126"/>
      <c r="T1548" s="124" t="s">
        <v>3251</v>
      </c>
      <c r="U1548" s="166"/>
      <c r="V1548" s="83" t="s">
        <v>79</v>
      </c>
      <c r="W1548" s="166"/>
      <c r="X1548" s="83" t="s">
        <v>80</v>
      </c>
      <c r="Y1548" s="168"/>
      <c r="Z1548" s="119" t="s">
        <v>79</v>
      </c>
      <c r="AA1548" s="168"/>
      <c r="AB1548" s="83" t="s">
        <v>80</v>
      </c>
      <c r="AC1548" s="166"/>
      <c r="AD1548" s="106" t="s">
        <v>3252</v>
      </c>
    </row>
    <row r="1549" spans="1:30" s="171" customFormat="1" ht="51">
      <c r="A1549" s="126"/>
      <c r="B1549" s="106" t="s">
        <v>3625</v>
      </c>
      <c r="C1549" s="172"/>
      <c r="D1549" s="106" t="s">
        <v>3626</v>
      </c>
      <c r="E1549" s="126"/>
      <c r="F1549" s="83" t="s">
        <v>254</v>
      </c>
      <c r="G1549" s="126"/>
      <c r="H1549" s="26" t="s">
        <v>116</v>
      </c>
      <c r="I1549" s="126"/>
      <c r="J1549" s="83" t="s">
        <v>659</v>
      </c>
      <c r="K1549" s="126"/>
      <c r="L1549" s="83" t="s">
        <v>737</v>
      </c>
      <c r="M1549" s="126"/>
      <c r="N1549" s="106" t="s">
        <v>96</v>
      </c>
      <c r="O1549" s="172"/>
      <c r="P1549" s="106" t="s">
        <v>3250</v>
      </c>
      <c r="Q1549" s="126"/>
      <c r="R1549" s="83" t="s">
        <v>77</v>
      </c>
      <c r="S1549" s="126"/>
      <c r="T1549" s="124" t="s">
        <v>3251</v>
      </c>
      <c r="U1549" s="166"/>
      <c r="V1549" s="83" t="s">
        <v>79</v>
      </c>
      <c r="W1549" s="166"/>
      <c r="X1549" s="83" t="s">
        <v>80</v>
      </c>
      <c r="Y1549" s="168"/>
      <c r="Z1549" s="119" t="s">
        <v>79</v>
      </c>
      <c r="AA1549" s="168"/>
      <c r="AB1549" s="83" t="s">
        <v>80</v>
      </c>
      <c r="AC1549" s="166"/>
      <c r="AD1549" s="106" t="s">
        <v>3252</v>
      </c>
    </row>
    <row r="1550" spans="1:30" s="171" customFormat="1" ht="51">
      <c r="A1550" s="126"/>
      <c r="B1550" s="106" t="s">
        <v>3627</v>
      </c>
      <c r="C1550" s="172"/>
      <c r="D1550" s="106" t="s">
        <v>3275</v>
      </c>
      <c r="E1550" s="126"/>
      <c r="F1550" s="83" t="s">
        <v>254</v>
      </c>
      <c r="G1550" s="126"/>
      <c r="H1550" s="26" t="s">
        <v>116</v>
      </c>
      <c r="I1550" s="126"/>
      <c r="J1550" s="83" t="s">
        <v>659</v>
      </c>
      <c r="K1550" s="126"/>
      <c r="L1550" s="83" t="s">
        <v>737</v>
      </c>
      <c r="M1550" s="126"/>
      <c r="N1550" s="106" t="s">
        <v>96</v>
      </c>
      <c r="O1550" s="172"/>
      <c r="P1550" s="106" t="s">
        <v>3250</v>
      </c>
      <c r="Q1550" s="126"/>
      <c r="R1550" s="83" t="s">
        <v>77</v>
      </c>
      <c r="S1550" s="126"/>
      <c r="T1550" s="124" t="s">
        <v>3251</v>
      </c>
      <c r="U1550" s="166"/>
      <c r="V1550" s="83" t="s">
        <v>79</v>
      </c>
      <c r="W1550" s="166"/>
      <c r="X1550" s="83" t="s">
        <v>80</v>
      </c>
      <c r="Y1550" s="168"/>
      <c r="Z1550" s="119" t="s">
        <v>79</v>
      </c>
      <c r="AA1550" s="168"/>
      <c r="AB1550" s="83" t="s">
        <v>80</v>
      </c>
      <c r="AC1550" s="166"/>
      <c r="AD1550" s="106" t="s">
        <v>3252</v>
      </c>
    </row>
    <row r="1551" spans="1:30" s="171" customFormat="1" ht="51">
      <c r="A1551" s="126"/>
      <c r="B1551" s="106" t="s">
        <v>3628</v>
      </c>
      <c r="C1551" s="172"/>
      <c r="D1551" s="106" t="s">
        <v>3629</v>
      </c>
      <c r="E1551" s="126"/>
      <c r="F1551" s="83" t="s">
        <v>254</v>
      </c>
      <c r="G1551" s="126"/>
      <c r="H1551" s="26" t="s">
        <v>116</v>
      </c>
      <c r="I1551" s="126"/>
      <c r="J1551" s="83" t="s">
        <v>659</v>
      </c>
      <c r="K1551" s="126"/>
      <c r="L1551" s="83" t="s">
        <v>737</v>
      </c>
      <c r="M1551" s="126"/>
      <c r="N1551" s="106" t="s">
        <v>96</v>
      </c>
      <c r="O1551" s="172"/>
      <c r="P1551" s="106" t="s">
        <v>3250</v>
      </c>
      <c r="Q1551" s="126"/>
      <c r="R1551" s="83" t="s">
        <v>77</v>
      </c>
      <c r="S1551" s="126"/>
      <c r="T1551" s="124" t="s">
        <v>3251</v>
      </c>
      <c r="U1551" s="166"/>
      <c r="V1551" s="83" t="s">
        <v>79</v>
      </c>
      <c r="W1551" s="166"/>
      <c r="X1551" s="83" t="s">
        <v>80</v>
      </c>
      <c r="Y1551" s="168"/>
      <c r="Z1551" s="119" t="s">
        <v>79</v>
      </c>
      <c r="AA1551" s="168"/>
      <c r="AB1551" s="83" t="s">
        <v>80</v>
      </c>
      <c r="AC1551" s="166"/>
      <c r="AD1551" s="106" t="s">
        <v>3252</v>
      </c>
    </row>
    <row r="1552" spans="1:30" s="171" customFormat="1" ht="51">
      <c r="A1552" s="126"/>
      <c r="B1552" s="106" t="s">
        <v>3630</v>
      </c>
      <c r="C1552" s="172"/>
      <c r="D1552" s="106" t="s">
        <v>2875</v>
      </c>
      <c r="E1552" s="126"/>
      <c r="F1552" s="83" t="s">
        <v>123</v>
      </c>
      <c r="G1552" s="126"/>
      <c r="H1552" s="26" t="s">
        <v>116</v>
      </c>
      <c r="I1552" s="126"/>
      <c r="J1552" s="83" t="s">
        <v>659</v>
      </c>
      <c r="K1552" s="126"/>
      <c r="L1552" s="83" t="s">
        <v>737</v>
      </c>
      <c r="M1552" s="126"/>
      <c r="N1552" s="106" t="s">
        <v>96</v>
      </c>
      <c r="O1552" s="172"/>
      <c r="P1552" s="106" t="s">
        <v>3250</v>
      </c>
      <c r="Q1552" s="126"/>
      <c r="R1552" s="83" t="s">
        <v>77</v>
      </c>
      <c r="S1552" s="126"/>
      <c r="T1552" s="124" t="s">
        <v>3251</v>
      </c>
      <c r="U1552" s="166"/>
      <c r="V1552" s="83" t="s">
        <v>79</v>
      </c>
      <c r="W1552" s="166"/>
      <c r="X1552" s="83" t="s">
        <v>80</v>
      </c>
      <c r="Y1552" s="168"/>
      <c r="Z1552" s="119" t="s">
        <v>79</v>
      </c>
      <c r="AA1552" s="168"/>
      <c r="AB1552" s="83" t="s">
        <v>80</v>
      </c>
      <c r="AC1552" s="166"/>
      <c r="AD1552" s="106" t="s">
        <v>3252</v>
      </c>
    </row>
    <row r="1553" spans="1:31" s="171" customFormat="1" ht="51">
      <c r="A1553" s="126"/>
      <c r="B1553" s="106" t="s">
        <v>3631</v>
      </c>
      <c r="C1553" s="172"/>
      <c r="D1553" s="106" t="s">
        <v>3275</v>
      </c>
      <c r="E1553" s="126"/>
      <c r="F1553" s="83" t="s">
        <v>254</v>
      </c>
      <c r="G1553" s="126"/>
      <c r="H1553" s="26" t="s">
        <v>116</v>
      </c>
      <c r="I1553" s="126"/>
      <c r="J1553" s="83" t="s">
        <v>659</v>
      </c>
      <c r="K1553" s="126"/>
      <c r="L1553" s="83" t="s">
        <v>737</v>
      </c>
      <c r="M1553" s="126"/>
      <c r="N1553" s="106" t="s">
        <v>96</v>
      </c>
      <c r="O1553" s="172"/>
      <c r="P1553" s="106" t="s">
        <v>3250</v>
      </c>
      <c r="Q1553" s="126"/>
      <c r="R1553" s="83" t="s">
        <v>77</v>
      </c>
      <c r="S1553" s="126"/>
      <c r="T1553" s="124" t="s">
        <v>3251</v>
      </c>
      <c r="U1553" s="166"/>
      <c r="V1553" s="83" t="s">
        <v>79</v>
      </c>
      <c r="W1553" s="166"/>
      <c r="X1553" s="83" t="s">
        <v>80</v>
      </c>
      <c r="Y1553" s="168"/>
      <c r="Z1553" s="119" t="s">
        <v>79</v>
      </c>
      <c r="AA1553" s="168"/>
      <c r="AB1553" s="83" t="s">
        <v>80</v>
      </c>
      <c r="AC1553" s="166"/>
      <c r="AD1553" s="106" t="s">
        <v>3252</v>
      </c>
    </row>
    <row r="1554" spans="1:31" s="171" customFormat="1" ht="51">
      <c r="A1554" s="126"/>
      <c r="B1554" s="106" t="s">
        <v>3632</v>
      </c>
      <c r="C1554" s="172"/>
      <c r="D1554" s="106" t="s">
        <v>3605</v>
      </c>
      <c r="E1554" s="126"/>
      <c r="F1554" s="83" t="s">
        <v>254</v>
      </c>
      <c r="G1554" s="126"/>
      <c r="H1554" s="26" t="s">
        <v>116</v>
      </c>
      <c r="I1554" s="126"/>
      <c r="J1554" s="83" t="s">
        <v>659</v>
      </c>
      <c r="K1554" s="126"/>
      <c r="L1554" s="83" t="s">
        <v>737</v>
      </c>
      <c r="M1554" s="126"/>
      <c r="N1554" s="106" t="s">
        <v>96</v>
      </c>
      <c r="O1554" s="172"/>
      <c r="P1554" s="106" t="s">
        <v>3250</v>
      </c>
      <c r="Q1554" s="126"/>
      <c r="R1554" s="83" t="s">
        <v>77</v>
      </c>
      <c r="S1554" s="126"/>
      <c r="T1554" s="124" t="s">
        <v>3251</v>
      </c>
      <c r="U1554" s="166"/>
      <c r="V1554" s="83" t="s">
        <v>79</v>
      </c>
      <c r="W1554" s="166"/>
      <c r="X1554" s="83" t="s">
        <v>80</v>
      </c>
      <c r="Y1554" s="168"/>
      <c r="Z1554" s="119" t="s">
        <v>79</v>
      </c>
      <c r="AA1554" s="168"/>
      <c r="AB1554" s="83" t="s">
        <v>80</v>
      </c>
      <c r="AC1554" s="166"/>
      <c r="AD1554" s="106" t="s">
        <v>3252</v>
      </c>
    </row>
    <row r="1555" spans="1:31" s="171" customFormat="1" ht="51">
      <c r="A1555" s="126"/>
      <c r="B1555" s="106" t="s">
        <v>3633</v>
      </c>
      <c r="C1555" s="172"/>
      <c r="D1555" s="106" t="s">
        <v>3634</v>
      </c>
      <c r="E1555" s="126"/>
      <c r="F1555" s="83" t="s">
        <v>254</v>
      </c>
      <c r="G1555" s="126"/>
      <c r="H1555" s="26" t="s">
        <v>116</v>
      </c>
      <c r="I1555" s="126"/>
      <c r="J1555" s="83" t="s">
        <v>659</v>
      </c>
      <c r="K1555" s="126"/>
      <c r="L1555" s="83" t="s">
        <v>737</v>
      </c>
      <c r="M1555" s="126"/>
      <c r="N1555" s="106" t="s">
        <v>96</v>
      </c>
      <c r="O1555" s="172"/>
      <c r="P1555" s="106" t="s">
        <v>3250</v>
      </c>
      <c r="Q1555" s="126"/>
      <c r="R1555" s="83" t="s">
        <v>77</v>
      </c>
      <c r="S1555" s="126"/>
      <c r="T1555" s="124" t="s">
        <v>3251</v>
      </c>
      <c r="U1555" s="166"/>
      <c r="V1555" s="83" t="s">
        <v>79</v>
      </c>
      <c r="W1555" s="166"/>
      <c r="X1555" s="83" t="s">
        <v>80</v>
      </c>
      <c r="Y1555" s="168"/>
      <c r="Z1555" s="119" t="s">
        <v>79</v>
      </c>
      <c r="AA1555" s="168"/>
      <c r="AB1555" s="83" t="s">
        <v>80</v>
      </c>
      <c r="AC1555" s="166"/>
      <c r="AD1555" s="106" t="s">
        <v>3252</v>
      </c>
    </row>
    <row r="1556" spans="1:31" s="171" customFormat="1" ht="51">
      <c r="A1556" s="126"/>
      <c r="B1556" s="106" t="s">
        <v>3635</v>
      </c>
      <c r="C1556" s="172"/>
      <c r="D1556" s="106" t="s">
        <v>3315</v>
      </c>
      <c r="E1556" s="126"/>
      <c r="F1556" s="83" t="s">
        <v>254</v>
      </c>
      <c r="G1556" s="126"/>
      <c r="H1556" s="26" t="s">
        <v>116</v>
      </c>
      <c r="I1556" s="126"/>
      <c r="J1556" s="83" t="s">
        <v>659</v>
      </c>
      <c r="K1556" s="126"/>
      <c r="L1556" s="83" t="s">
        <v>737</v>
      </c>
      <c r="M1556" s="126"/>
      <c r="N1556" s="106" t="s">
        <v>96</v>
      </c>
      <c r="O1556" s="172"/>
      <c r="P1556" s="106" t="s">
        <v>3250</v>
      </c>
      <c r="Q1556" s="126"/>
      <c r="R1556" s="83" t="s">
        <v>77</v>
      </c>
      <c r="S1556" s="126"/>
      <c r="T1556" s="124" t="s">
        <v>3251</v>
      </c>
      <c r="U1556" s="166"/>
      <c r="V1556" s="83" t="s">
        <v>79</v>
      </c>
      <c r="W1556" s="166"/>
      <c r="X1556" s="83" t="s">
        <v>80</v>
      </c>
      <c r="Y1556" s="168"/>
      <c r="Z1556" s="119" t="s">
        <v>79</v>
      </c>
      <c r="AA1556" s="168"/>
      <c r="AB1556" s="83" t="s">
        <v>80</v>
      </c>
      <c r="AC1556" s="166"/>
      <c r="AD1556" s="106" t="s">
        <v>3252</v>
      </c>
    </row>
    <row r="1557" spans="1:31" s="171" customFormat="1" ht="51">
      <c r="A1557" s="126"/>
      <c r="B1557" s="106" t="s">
        <v>3636</v>
      </c>
      <c r="C1557" s="172"/>
      <c r="D1557" s="106" t="s">
        <v>3287</v>
      </c>
      <c r="E1557" s="126"/>
      <c r="F1557" s="83" t="s">
        <v>254</v>
      </c>
      <c r="G1557" s="126"/>
      <c r="H1557" s="26" t="s">
        <v>116</v>
      </c>
      <c r="I1557" s="126"/>
      <c r="J1557" s="83" t="s">
        <v>659</v>
      </c>
      <c r="K1557" s="126"/>
      <c r="L1557" s="83" t="s">
        <v>737</v>
      </c>
      <c r="M1557" s="126"/>
      <c r="N1557" s="106" t="s">
        <v>96</v>
      </c>
      <c r="O1557" s="172"/>
      <c r="P1557" s="106" t="s">
        <v>3250</v>
      </c>
      <c r="Q1557" s="126"/>
      <c r="R1557" s="83" t="s">
        <v>77</v>
      </c>
      <c r="S1557" s="126"/>
      <c r="T1557" s="124" t="s">
        <v>3251</v>
      </c>
      <c r="U1557" s="166"/>
      <c r="V1557" s="83" t="s">
        <v>79</v>
      </c>
      <c r="W1557" s="166"/>
      <c r="X1557" s="83" t="s">
        <v>80</v>
      </c>
      <c r="Y1557" s="168"/>
      <c r="Z1557" s="119" t="s">
        <v>79</v>
      </c>
      <c r="AA1557" s="168"/>
      <c r="AB1557" s="83" t="s">
        <v>80</v>
      </c>
      <c r="AC1557" s="166"/>
      <c r="AD1557" s="106" t="s">
        <v>3252</v>
      </c>
    </row>
    <row r="1558" spans="1:31" s="171" customFormat="1" ht="51">
      <c r="A1558" s="126"/>
      <c r="B1558" s="106" t="s">
        <v>3637</v>
      </c>
      <c r="C1558" s="172"/>
      <c r="D1558" s="106" t="s">
        <v>3638</v>
      </c>
      <c r="E1558" s="126"/>
      <c r="F1558" s="83" t="s">
        <v>254</v>
      </c>
      <c r="G1558" s="126"/>
      <c r="H1558" s="26" t="s">
        <v>116</v>
      </c>
      <c r="I1558" s="126"/>
      <c r="J1558" s="83" t="s">
        <v>659</v>
      </c>
      <c r="K1558" s="126"/>
      <c r="L1558" s="83" t="s">
        <v>737</v>
      </c>
      <c r="M1558" s="126"/>
      <c r="N1558" s="106" t="s">
        <v>96</v>
      </c>
      <c r="O1558" s="172"/>
      <c r="P1558" s="106" t="s">
        <v>3250</v>
      </c>
      <c r="Q1558" s="126"/>
      <c r="R1558" s="83" t="s">
        <v>77</v>
      </c>
      <c r="S1558" s="126"/>
      <c r="T1558" s="124" t="s">
        <v>3251</v>
      </c>
      <c r="U1558" s="166"/>
      <c r="V1558" s="83" t="s">
        <v>79</v>
      </c>
      <c r="W1558" s="166"/>
      <c r="X1558" s="83" t="s">
        <v>80</v>
      </c>
      <c r="Y1558" s="168"/>
      <c r="Z1558" s="119" t="s">
        <v>79</v>
      </c>
      <c r="AA1558" s="168"/>
      <c r="AB1558" s="83" t="s">
        <v>80</v>
      </c>
      <c r="AC1558" s="166"/>
      <c r="AD1558" s="106" t="s">
        <v>3252</v>
      </c>
    </row>
    <row r="1559" spans="1:31" s="171" customFormat="1" ht="51">
      <c r="A1559" s="126"/>
      <c r="B1559" s="106" t="s">
        <v>3639</v>
      </c>
      <c r="C1559" s="172"/>
      <c r="D1559" s="106" t="s">
        <v>3340</v>
      </c>
      <c r="E1559" s="126"/>
      <c r="F1559" s="83" t="s">
        <v>254</v>
      </c>
      <c r="G1559" s="126"/>
      <c r="H1559" s="26" t="s">
        <v>116</v>
      </c>
      <c r="I1559" s="126"/>
      <c r="J1559" s="83" t="s">
        <v>659</v>
      </c>
      <c r="K1559" s="126"/>
      <c r="L1559" s="83" t="s">
        <v>737</v>
      </c>
      <c r="M1559" s="126"/>
      <c r="N1559" s="106" t="s">
        <v>96</v>
      </c>
      <c r="O1559" s="172"/>
      <c r="P1559" s="106" t="s">
        <v>3250</v>
      </c>
      <c r="Q1559" s="126"/>
      <c r="R1559" s="83" t="s">
        <v>77</v>
      </c>
      <c r="S1559" s="126"/>
      <c r="T1559" s="124" t="s">
        <v>3251</v>
      </c>
      <c r="U1559" s="166"/>
      <c r="V1559" s="83" t="s">
        <v>79</v>
      </c>
      <c r="W1559" s="166"/>
      <c r="X1559" s="83" t="s">
        <v>80</v>
      </c>
      <c r="Y1559" s="168"/>
      <c r="Z1559" s="119" t="s">
        <v>79</v>
      </c>
      <c r="AA1559" s="168"/>
      <c r="AB1559" s="83" t="s">
        <v>80</v>
      </c>
      <c r="AC1559" s="166"/>
      <c r="AD1559" s="106" t="s">
        <v>3252</v>
      </c>
    </row>
    <row r="1560" spans="1:31" s="171" customFormat="1" ht="51">
      <c r="A1560" s="126"/>
      <c r="B1560" s="106" t="s">
        <v>3640</v>
      </c>
      <c r="C1560" s="172"/>
      <c r="D1560" s="106" t="s">
        <v>370</v>
      </c>
      <c r="E1560" s="126"/>
      <c r="F1560" s="83" t="s">
        <v>370</v>
      </c>
      <c r="G1560" s="126"/>
      <c r="H1560" s="26" t="s">
        <v>116</v>
      </c>
      <c r="I1560" s="126"/>
      <c r="J1560" s="83" t="s">
        <v>659</v>
      </c>
      <c r="K1560" s="126"/>
      <c r="L1560" s="83" t="s">
        <v>737</v>
      </c>
      <c r="M1560" s="126"/>
      <c r="N1560" s="106" t="s">
        <v>96</v>
      </c>
      <c r="O1560" s="172"/>
      <c r="P1560" s="106" t="s">
        <v>3250</v>
      </c>
      <c r="Q1560" s="126"/>
      <c r="R1560" s="83" t="s">
        <v>77</v>
      </c>
      <c r="S1560" s="126"/>
      <c r="T1560" s="124" t="s">
        <v>3251</v>
      </c>
      <c r="U1560" s="166"/>
      <c r="V1560" s="83" t="s">
        <v>79</v>
      </c>
      <c r="W1560" s="166"/>
      <c r="X1560" s="83" t="s">
        <v>80</v>
      </c>
      <c r="Y1560" s="168"/>
      <c r="Z1560" s="119" t="s">
        <v>79</v>
      </c>
      <c r="AA1560" s="168"/>
      <c r="AB1560" s="83" t="s">
        <v>80</v>
      </c>
      <c r="AC1560" s="166"/>
      <c r="AD1560" s="106" t="s">
        <v>3252</v>
      </c>
    </row>
    <row r="1561" spans="1:31" s="171" customFormat="1" ht="51">
      <c r="A1561" s="126"/>
      <c r="B1561" s="106" t="s">
        <v>3641</v>
      </c>
      <c r="C1561" s="172"/>
      <c r="D1561" s="106" t="s">
        <v>71</v>
      </c>
      <c r="E1561" s="126"/>
      <c r="F1561" s="83" t="s">
        <v>71</v>
      </c>
      <c r="G1561" s="126"/>
      <c r="H1561" s="26" t="s">
        <v>116</v>
      </c>
      <c r="I1561" s="126"/>
      <c r="J1561" s="83" t="s">
        <v>3374</v>
      </c>
      <c r="K1561" s="126"/>
      <c r="L1561" s="83" t="s">
        <v>737</v>
      </c>
      <c r="M1561" s="126"/>
      <c r="N1561" s="106" t="s">
        <v>96</v>
      </c>
      <c r="O1561" s="172"/>
      <c r="P1561" s="106" t="s">
        <v>3250</v>
      </c>
      <c r="Q1561" s="126"/>
      <c r="R1561" s="83" t="s">
        <v>77</v>
      </c>
      <c r="S1561" s="126"/>
      <c r="T1561" s="124" t="s">
        <v>3251</v>
      </c>
      <c r="U1561" s="166"/>
      <c r="V1561" s="83" t="s">
        <v>79</v>
      </c>
      <c r="W1561" s="166"/>
      <c r="X1561" s="83" t="s">
        <v>80</v>
      </c>
      <c r="Y1561" s="168"/>
      <c r="Z1561" s="119" t="s">
        <v>79</v>
      </c>
      <c r="AA1561" s="168"/>
      <c r="AB1561" s="83" t="s">
        <v>80</v>
      </c>
      <c r="AC1561" s="166"/>
      <c r="AD1561" s="106" t="s">
        <v>3252</v>
      </c>
    </row>
    <row r="1562" spans="1:31" s="171" customFormat="1" ht="51">
      <c r="A1562" s="126"/>
      <c r="B1562" s="106" t="s">
        <v>3642</v>
      </c>
      <c r="C1562" s="172"/>
      <c r="D1562" s="106" t="s">
        <v>71</v>
      </c>
      <c r="E1562" s="126"/>
      <c r="F1562" s="83" t="s">
        <v>71</v>
      </c>
      <c r="G1562" s="126"/>
      <c r="H1562" s="26" t="s">
        <v>116</v>
      </c>
      <c r="I1562" s="126"/>
      <c r="J1562" s="83" t="s">
        <v>3374</v>
      </c>
      <c r="K1562" s="126"/>
      <c r="L1562" s="83" t="s">
        <v>737</v>
      </c>
      <c r="M1562" s="126"/>
      <c r="N1562" s="106" t="s">
        <v>96</v>
      </c>
      <c r="O1562" s="172"/>
      <c r="P1562" s="106" t="s">
        <v>3250</v>
      </c>
      <c r="Q1562" s="126"/>
      <c r="R1562" s="83" t="s">
        <v>77</v>
      </c>
      <c r="S1562" s="126"/>
      <c r="T1562" s="124" t="s">
        <v>3251</v>
      </c>
      <c r="U1562" s="166"/>
      <c r="V1562" s="83" t="s">
        <v>79</v>
      </c>
      <c r="W1562" s="166"/>
      <c r="X1562" s="83" t="s">
        <v>80</v>
      </c>
      <c r="Y1562" s="168"/>
      <c r="Z1562" s="119" t="s">
        <v>79</v>
      </c>
      <c r="AA1562" s="168"/>
      <c r="AB1562" s="83" t="s">
        <v>80</v>
      </c>
      <c r="AC1562" s="166"/>
      <c r="AD1562" s="106" t="s">
        <v>3252</v>
      </c>
    </row>
    <row r="1563" spans="1:31" s="177" customFormat="1" ht="51">
      <c r="A1563" s="138"/>
      <c r="B1563" s="146" t="s">
        <v>3643</v>
      </c>
      <c r="C1563" s="173"/>
      <c r="D1563" s="146" t="s">
        <v>3605</v>
      </c>
      <c r="E1563" s="138"/>
      <c r="F1563" s="148" t="s">
        <v>254</v>
      </c>
      <c r="G1563" s="138"/>
      <c r="H1563" s="133" t="s">
        <v>116</v>
      </c>
      <c r="I1563" s="138"/>
      <c r="J1563" s="148" t="s">
        <v>587</v>
      </c>
      <c r="K1563" s="138"/>
      <c r="L1563" s="148" t="s">
        <v>737</v>
      </c>
      <c r="M1563" s="138"/>
      <c r="N1563" s="146" t="s">
        <v>96</v>
      </c>
      <c r="O1563" s="173"/>
      <c r="P1563" s="146" t="s">
        <v>3250</v>
      </c>
      <c r="Q1563" s="138"/>
      <c r="R1563" s="148" t="s">
        <v>77</v>
      </c>
      <c r="S1563" s="138"/>
      <c r="T1563" s="124" t="s">
        <v>3251</v>
      </c>
      <c r="U1563" s="175"/>
      <c r="V1563" s="83" t="s">
        <v>79</v>
      </c>
      <c r="W1563" s="166"/>
      <c r="X1563" s="83" t="s">
        <v>80</v>
      </c>
      <c r="Y1563" s="176"/>
      <c r="Z1563" s="119" t="s">
        <v>79</v>
      </c>
      <c r="AA1563" s="168"/>
      <c r="AB1563" s="83" t="s">
        <v>80</v>
      </c>
      <c r="AC1563" s="175"/>
      <c r="AD1563" s="106" t="s">
        <v>3252</v>
      </c>
      <c r="AE1563" s="171"/>
    </row>
    <row r="1564" spans="1:31" s="171" customFormat="1" ht="51">
      <c r="A1564" s="126"/>
      <c r="B1564" s="106" t="s">
        <v>3644</v>
      </c>
      <c r="C1564" s="172"/>
      <c r="D1564" s="106" t="s">
        <v>3275</v>
      </c>
      <c r="E1564" s="126"/>
      <c r="F1564" s="83" t="s">
        <v>254</v>
      </c>
      <c r="G1564" s="126"/>
      <c r="H1564" s="26" t="s">
        <v>116</v>
      </c>
      <c r="I1564" s="126"/>
      <c r="J1564" s="83" t="s">
        <v>587</v>
      </c>
      <c r="K1564" s="126"/>
      <c r="L1564" s="83" t="s">
        <v>737</v>
      </c>
      <c r="M1564" s="126"/>
      <c r="N1564" s="106" t="s">
        <v>96</v>
      </c>
      <c r="O1564" s="172"/>
      <c r="P1564" s="106" t="s">
        <v>3250</v>
      </c>
      <c r="Q1564" s="126"/>
      <c r="R1564" s="83" t="s">
        <v>77</v>
      </c>
      <c r="S1564" s="126"/>
      <c r="T1564" s="124" t="s">
        <v>3251</v>
      </c>
      <c r="U1564" s="166"/>
      <c r="V1564" s="83" t="s">
        <v>79</v>
      </c>
      <c r="W1564" s="166"/>
      <c r="X1564" s="83" t="s">
        <v>80</v>
      </c>
      <c r="Y1564" s="168"/>
      <c r="Z1564" s="119" t="s">
        <v>79</v>
      </c>
      <c r="AA1564" s="168"/>
      <c r="AB1564" s="83" t="s">
        <v>80</v>
      </c>
      <c r="AC1564" s="166"/>
      <c r="AD1564" s="106" t="s">
        <v>3252</v>
      </c>
    </row>
    <row r="1565" spans="1:31" s="171" customFormat="1" ht="51">
      <c r="A1565" s="126"/>
      <c r="B1565" s="121" t="s">
        <v>3645</v>
      </c>
      <c r="C1565" s="172"/>
      <c r="D1565" s="106" t="s">
        <v>3646</v>
      </c>
      <c r="E1565" s="126"/>
      <c r="F1565" s="83" t="s">
        <v>254</v>
      </c>
      <c r="G1565" s="126"/>
      <c r="H1565" s="26" t="s">
        <v>116</v>
      </c>
      <c r="I1565" s="126"/>
      <c r="J1565" s="83" t="s">
        <v>694</v>
      </c>
      <c r="K1565" s="126"/>
      <c r="L1565" s="83" t="s">
        <v>737</v>
      </c>
      <c r="M1565" s="126"/>
      <c r="N1565" s="106" t="s">
        <v>96</v>
      </c>
      <c r="O1565" s="172"/>
      <c r="P1565" s="106" t="s">
        <v>3250</v>
      </c>
      <c r="Q1565" s="126"/>
      <c r="R1565" s="83" t="s">
        <v>77</v>
      </c>
      <c r="S1565" s="126"/>
      <c r="T1565" s="124" t="s">
        <v>3251</v>
      </c>
      <c r="U1565" s="166"/>
      <c r="V1565" s="83" t="s">
        <v>79</v>
      </c>
      <c r="W1565" s="166"/>
      <c r="X1565" s="83" t="s">
        <v>80</v>
      </c>
      <c r="Y1565" s="168"/>
      <c r="Z1565" s="119" t="s">
        <v>79</v>
      </c>
      <c r="AA1565" s="168"/>
      <c r="AB1565" s="83" t="s">
        <v>80</v>
      </c>
      <c r="AC1565" s="166"/>
      <c r="AD1565" s="106" t="s">
        <v>3252</v>
      </c>
      <c r="AE1565" s="177"/>
    </row>
    <row r="1566" spans="1:31" s="171" customFormat="1" ht="51">
      <c r="A1566" s="126"/>
      <c r="B1566" s="106" t="s">
        <v>3647</v>
      </c>
      <c r="C1566" s="172"/>
      <c r="D1566" s="106" t="s">
        <v>3287</v>
      </c>
      <c r="E1566" s="126"/>
      <c r="F1566" s="83" t="s">
        <v>254</v>
      </c>
      <c r="G1566" s="126"/>
      <c r="H1566" s="26" t="s">
        <v>116</v>
      </c>
      <c r="I1566" s="126"/>
      <c r="J1566" s="83" t="s">
        <v>694</v>
      </c>
      <c r="K1566" s="126"/>
      <c r="L1566" s="83" t="s">
        <v>737</v>
      </c>
      <c r="M1566" s="126"/>
      <c r="N1566" s="106" t="s">
        <v>96</v>
      </c>
      <c r="O1566" s="172"/>
      <c r="P1566" s="106" t="s">
        <v>3250</v>
      </c>
      <c r="Q1566" s="126"/>
      <c r="R1566" s="83" t="s">
        <v>77</v>
      </c>
      <c r="S1566" s="126"/>
      <c r="T1566" s="124" t="s">
        <v>3251</v>
      </c>
      <c r="U1566" s="166"/>
      <c r="V1566" s="83" t="s">
        <v>79</v>
      </c>
      <c r="W1566" s="166"/>
      <c r="X1566" s="83" t="s">
        <v>80</v>
      </c>
      <c r="Y1566" s="168"/>
      <c r="Z1566" s="119" t="s">
        <v>79</v>
      </c>
      <c r="AA1566" s="168"/>
      <c r="AB1566" s="83" t="s">
        <v>80</v>
      </c>
      <c r="AC1566" s="166"/>
      <c r="AD1566" s="106" t="s">
        <v>3252</v>
      </c>
    </row>
    <row r="1567" spans="1:31" s="171" customFormat="1" ht="51">
      <c r="A1567" s="126"/>
      <c r="B1567" s="106" t="s">
        <v>3648</v>
      </c>
      <c r="C1567" s="172"/>
      <c r="D1567" s="106" t="s">
        <v>3287</v>
      </c>
      <c r="E1567" s="126"/>
      <c r="F1567" s="83" t="s">
        <v>254</v>
      </c>
      <c r="G1567" s="126"/>
      <c r="H1567" s="26" t="s">
        <v>116</v>
      </c>
      <c r="I1567" s="126"/>
      <c r="J1567" s="83" t="s">
        <v>694</v>
      </c>
      <c r="K1567" s="126"/>
      <c r="L1567" s="83" t="s">
        <v>737</v>
      </c>
      <c r="M1567" s="126"/>
      <c r="N1567" s="106" t="s">
        <v>96</v>
      </c>
      <c r="O1567" s="172"/>
      <c r="P1567" s="106" t="s">
        <v>3250</v>
      </c>
      <c r="Q1567" s="126"/>
      <c r="R1567" s="83" t="s">
        <v>77</v>
      </c>
      <c r="S1567" s="126"/>
      <c r="T1567" s="124" t="s">
        <v>3251</v>
      </c>
      <c r="U1567" s="166"/>
      <c r="V1567" s="83" t="s">
        <v>79</v>
      </c>
      <c r="W1567" s="166"/>
      <c r="X1567" s="83" t="s">
        <v>80</v>
      </c>
      <c r="Y1567" s="168"/>
      <c r="Z1567" s="119" t="s">
        <v>79</v>
      </c>
      <c r="AA1567" s="168"/>
      <c r="AB1567" s="83" t="s">
        <v>80</v>
      </c>
      <c r="AC1567" s="166"/>
      <c r="AD1567" s="106" t="s">
        <v>3252</v>
      </c>
    </row>
    <row r="1568" spans="1:31" s="171" customFormat="1" ht="51">
      <c r="A1568" s="126"/>
      <c r="B1568" s="106" t="s">
        <v>3649</v>
      </c>
      <c r="C1568" s="172"/>
      <c r="D1568" s="106" t="s">
        <v>1515</v>
      </c>
      <c r="E1568" s="126"/>
      <c r="F1568" s="83" t="s">
        <v>254</v>
      </c>
      <c r="G1568" s="126"/>
      <c r="H1568" s="26" t="s">
        <v>116</v>
      </c>
      <c r="I1568" s="126"/>
      <c r="J1568" s="83" t="s">
        <v>694</v>
      </c>
      <c r="K1568" s="126"/>
      <c r="L1568" s="83" t="s">
        <v>737</v>
      </c>
      <c r="M1568" s="126"/>
      <c r="N1568" s="106" t="s">
        <v>96</v>
      </c>
      <c r="O1568" s="172"/>
      <c r="P1568" s="106" t="s">
        <v>3250</v>
      </c>
      <c r="Q1568" s="126"/>
      <c r="R1568" s="83" t="s">
        <v>77</v>
      </c>
      <c r="S1568" s="126"/>
      <c r="T1568" s="124" t="s">
        <v>3251</v>
      </c>
      <c r="U1568" s="166"/>
      <c r="V1568" s="83" t="s">
        <v>79</v>
      </c>
      <c r="W1568" s="166"/>
      <c r="X1568" s="83" t="s">
        <v>80</v>
      </c>
      <c r="Y1568" s="168"/>
      <c r="Z1568" s="119" t="s">
        <v>79</v>
      </c>
      <c r="AA1568" s="168"/>
      <c r="AB1568" s="83" t="s">
        <v>80</v>
      </c>
      <c r="AC1568" s="166"/>
      <c r="AD1568" s="106" t="s">
        <v>3252</v>
      </c>
    </row>
    <row r="1569" spans="1:31" s="171" customFormat="1" ht="51">
      <c r="A1569" s="126"/>
      <c r="B1569" s="106" t="s">
        <v>3650</v>
      </c>
      <c r="C1569" s="172"/>
      <c r="D1569" s="106" t="s">
        <v>1137</v>
      </c>
      <c r="E1569" s="126"/>
      <c r="F1569" s="83" t="s">
        <v>254</v>
      </c>
      <c r="G1569" s="126"/>
      <c r="H1569" s="26" t="s">
        <v>116</v>
      </c>
      <c r="I1569" s="126"/>
      <c r="J1569" s="83" t="s">
        <v>694</v>
      </c>
      <c r="K1569" s="126"/>
      <c r="L1569" s="83" t="s">
        <v>737</v>
      </c>
      <c r="M1569" s="126"/>
      <c r="N1569" s="106" t="s">
        <v>96</v>
      </c>
      <c r="O1569" s="172"/>
      <c r="P1569" s="106" t="s">
        <v>3250</v>
      </c>
      <c r="Q1569" s="126"/>
      <c r="R1569" s="83" t="s">
        <v>77</v>
      </c>
      <c r="S1569" s="126"/>
      <c r="T1569" s="124" t="s">
        <v>3251</v>
      </c>
      <c r="U1569" s="166"/>
      <c r="V1569" s="83" t="s">
        <v>79</v>
      </c>
      <c r="W1569" s="166"/>
      <c r="X1569" s="83" t="s">
        <v>80</v>
      </c>
      <c r="Y1569" s="168"/>
      <c r="Z1569" s="119" t="s">
        <v>79</v>
      </c>
      <c r="AA1569" s="168"/>
      <c r="AB1569" s="83" t="s">
        <v>80</v>
      </c>
      <c r="AC1569" s="166"/>
      <c r="AD1569" s="106" t="s">
        <v>3252</v>
      </c>
    </row>
    <row r="1570" spans="1:31" s="171" customFormat="1" ht="51">
      <c r="A1570" s="126"/>
      <c r="B1570" s="106" t="s">
        <v>3651</v>
      </c>
      <c r="C1570" s="172"/>
      <c r="D1570" s="106" t="s">
        <v>3517</v>
      </c>
      <c r="E1570" s="126"/>
      <c r="F1570" s="83" t="s">
        <v>254</v>
      </c>
      <c r="G1570" s="126"/>
      <c r="H1570" s="26" t="s">
        <v>116</v>
      </c>
      <c r="I1570" s="126"/>
      <c r="J1570" s="83" t="s">
        <v>605</v>
      </c>
      <c r="K1570" s="126"/>
      <c r="L1570" s="83" t="s">
        <v>737</v>
      </c>
      <c r="M1570" s="126"/>
      <c r="N1570" s="106" t="s">
        <v>96</v>
      </c>
      <c r="O1570" s="172"/>
      <c r="P1570" s="106" t="s">
        <v>3250</v>
      </c>
      <c r="Q1570" s="126"/>
      <c r="R1570" s="83" t="s">
        <v>77</v>
      </c>
      <c r="S1570" s="126"/>
      <c r="T1570" s="124" t="s">
        <v>3251</v>
      </c>
      <c r="U1570" s="166"/>
      <c r="V1570" s="83" t="s">
        <v>79</v>
      </c>
      <c r="W1570" s="166"/>
      <c r="X1570" s="83" t="s">
        <v>80</v>
      </c>
      <c r="Y1570" s="168"/>
      <c r="Z1570" s="119" t="s">
        <v>79</v>
      </c>
      <c r="AA1570" s="168"/>
      <c r="AB1570" s="83" t="s">
        <v>80</v>
      </c>
      <c r="AC1570" s="166"/>
      <c r="AD1570" s="106" t="s">
        <v>3252</v>
      </c>
    </row>
    <row r="1571" spans="1:31" s="171" customFormat="1" ht="51">
      <c r="A1571" s="126"/>
      <c r="B1571" s="106" t="s">
        <v>3652</v>
      </c>
      <c r="C1571" s="172"/>
      <c r="D1571" s="106" t="s">
        <v>702</v>
      </c>
      <c r="E1571" s="126"/>
      <c r="F1571" s="83" t="s">
        <v>370</v>
      </c>
      <c r="G1571" s="126"/>
      <c r="H1571" s="26" t="s">
        <v>116</v>
      </c>
      <c r="I1571" s="126"/>
      <c r="J1571" s="83" t="s">
        <v>605</v>
      </c>
      <c r="K1571" s="126"/>
      <c r="L1571" s="83" t="s">
        <v>737</v>
      </c>
      <c r="M1571" s="126"/>
      <c r="N1571" s="106" t="s">
        <v>96</v>
      </c>
      <c r="O1571" s="172"/>
      <c r="P1571" s="106" t="s">
        <v>3250</v>
      </c>
      <c r="Q1571" s="126"/>
      <c r="R1571" s="83" t="s">
        <v>77</v>
      </c>
      <c r="S1571" s="126"/>
      <c r="T1571" s="124" t="s">
        <v>3251</v>
      </c>
      <c r="U1571" s="166"/>
      <c r="V1571" s="83" t="s">
        <v>79</v>
      </c>
      <c r="W1571" s="166"/>
      <c r="X1571" s="83" t="s">
        <v>80</v>
      </c>
      <c r="Y1571" s="168"/>
      <c r="Z1571" s="119" t="s">
        <v>79</v>
      </c>
      <c r="AA1571" s="168"/>
      <c r="AB1571" s="83" t="s">
        <v>80</v>
      </c>
      <c r="AC1571" s="166"/>
      <c r="AD1571" s="106" t="s">
        <v>3252</v>
      </c>
    </row>
    <row r="1572" spans="1:31" s="171" customFormat="1" ht="51">
      <c r="A1572" s="126"/>
      <c r="B1572" s="106" t="s">
        <v>3653</v>
      </c>
      <c r="C1572" s="172"/>
      <c r="D1572" s="106" t="s">
        <v>3315</v>
      </c>
      <c r="E1572" s="126"/>
      <c r="F1572" s="83" t="s">
        <v>254</v>
      </c>
      <c r="G1572" s="126"/>
      <c r="H1572" s="26" t="s">
        <v>116</v>
      </c>
      <c r="I1572" s="126"/>
      <c r="J1572" s="83" t="s">
        <v>605</v>
      </c>
      <c r="K1572" s="126"/>
      <c r="L1572" s="83" t="s">
        <v>737</v>
      </c>
      <c r="M1572" s="126"/>
      <c r="N1572" s="106" t="s">
        <v>96</v>
      </c>
      <c r="O1572" s="172"/>
      <c r="P1572" s="106" t="s">
        <v>3250</v>
      </c>
      <c r="Q1572" s="126"/>
      <c r="R1572" s="83" t="s">
        <v>77</v>
      </c>
      <c r="S1572" s="126"/>
      <c r="T1572" s="124" t="s">
        <v>3251</v>
      </c>
      <c r="U1572" s="166"/>
      <c r="V1572" s="83" t="s">
        <v>79</v>
      </c>
      <c r="W1572" s="166"/>
      <c r="X1572" s="83" t="s">
        <v>80</v>
      </c>
      <c r="Y1572" s="168"/>
      <c r="Z1572" s="119" t="s">
        <v>79</v>
      </c>
      <c r="AA1572" s="168"/>
      <c r="AB1572" s="83" t="s">
        <v>80</v>
      </c>
      <c r="AC1572" s="166"/>
      <c r="AD1572" s="106" t="s">
        <v>3252</v>
      </c>
    </row>
    <row r="1573" spans="1:31" s="171" customFormat="1" ht="51">
      <c r="A1573" s="126"/>
      <c r="B1573" s="106" t="s">
        <v>3654</v>
      </c>
      <c r="C1573" s="172"/>
      <c r="D1573" s="106" t="s">
        <v>3612</v>
      </c>
      <c r="E1573" s="126"/>
      <c r="F1573" s="83" t="s">
        <v>254</v>
      </c>
      <c r="G1573" s="126"/>
      <c r="H1573" s="26" t="s">
        <v>116</v>
      </c>
      <c r="I1573" s="126"/>
      <c r="J1573" s="83" t="s">
        <v>605</v>
      </c>
      <c r="K1573" s="126"/>
      <c r="L1573" s="83" t="s">
        <v>737</v>
      </c>
      <c r="M1573" s="126"/>
      <c r="N1573" s="106" t="s">
        <v>96</v>
      </c>
      <c r="O1573" s="172"/>
      <c r="P1573" s="106" t="s">
        <v>3250</v>
      </c>
      <c r="Q1573" s="126"/>
      <c r="R1573" s="83" t="s">
        <v>77</v>
      </c>
      <c r="S1573" s="126"/>
      <c r="T1573" s="124" t="s">
        <v>3251</v>
      </c>
      <c r="U1573" s="166"/>
      <c r="V1573" s="83" t="s">
        <v>79</v>
      </c>
      <c r="W1573" s="166"/>
      <c r="X1573" s="83" t="s">
        <v>80</v>
      </c>
      <c r="Y1573" s="168"/>
      <c r="Z1573" s="119" t="s">
        <v>79</v>
      </c>
      <c r="AA1573" s="168"/>
      <c r="AB1573" s="83" t="s">
        <v>80</v>
      </c>
      <c r="AC1573" s="166"/>
      <c r="AD1573" s="106" t="s">
        <v>3252</v>
      </c>
    </row>
    <row r="1574" spans="1:31" s="171" customFormat="1" ht="51">
      <c r="A1574" s="126"/>
      <c r="B1574" s="106" t="s">
        <v>3655</v>
      </c>
      <c r="C1574" s="172"/>
      <c r="D1574" s="106" t="s">
        <v>2875</v>
      </c>
      <c r="E1574" s="126"/>
      <c r="F1574" s="83" t="s">
        <v>123</v>
      </c>
      <c r="G1574" s="126"/>
      <c r="H1574" s="26" t="s">
        <v>116</v>
      </c>
      <c r="I1574" s="126"/>
      <c r="J1574" s="83" t="s">
        <v>605</v>
      </c>
      <c r="K1574" s="126"/>
      <c r="L1574" s="83" t="s">
        <v>737</v>
      </c>
      <c r="M1574" s="126"/>
      <c r="N1574" s="106" t="s">
        <v>96</v>
      </c>
      <c r="O1574" s="172"/>
      <c r="P1574" s="106" t="s">
        <v>3250</v>
      </c>
      <c r="Q1574" s="126"/>
      <c r="R1574" s="83" t="s">
        <v>77</v>
      </c>
      <c r="S1574" s="126"/>
      <c r="T1574" s="124" t="s">
        <v>3251</v>
      </c>
      <c r="U1574" s="166"/>
      <c r="V1574" s="83" t="s">
        <v>79</v>
      </c>
      <c r="W1574" s="166"/>
      <c r="X1574" s="83" t="s">
        <v>80</v>
      </c>
      <c r="Y1574" s="168"/>
      <c r="Z1574" s="119" t="s">
        <v>79</v>
      </c>
      <c r="AA1574" s="168"/>
      <c r="AB1574" s="83" t="s">
        <v>80</v>
      </c>
      <c r="AC1574" s="166"/>
      <c r="AD1574" s="106" t="s">
        <v>3252</v>
      </c>
    </row>
    <row r="1575" spans="1:31" s="171" customFormat="1" ht="51">
      <c r="A1575" s="126"/>
      <c r="B1575" s="106" t="s">
        <v>3656</v>
      </c>
      <c r="C1575" s="172"/>
      <c r="D1575" s="106" t="s">
        <v>3287</v>
      </c>
      <c r="E1575" s="126"/>
      <c r="F1575" s="83" t="s">
        <v>254</v>
      </c>
      <c r="G1575" s="126"/>
      <c r="H1575" s="26" t="s">
        <v>116</v>
      </c>
      <c r="I1575" s="126"/>
      <c r="J1575" s="83" t="s">
        <v>605</v>
      </c>
      <c r="K1575" s="126"/>
      <c r="L1575" s="83" t="s">
        <v>737</v>
      </c>
      <c r="M1575" s="126"/>
      <c r="N1575" s="106" t="s">
        <v>96</v>
      </c>
      <c r="O1575" s="172"/>
      <c r="P1575" s="106" t="s">
        <v>3250</v>
      </c>
      <c r="Q1575" s="126"/>
      <c r="R1575" s="83" t="s">
        <v>77</v>
      </c>
      <c r="S1575" s="126"/>
      <c r="T1575" s="124" t="s">
        <v>3251</v>
      </c>
      <c r="U1575" s="166"/>
      <c r="V1575" s="83" t="s">
        <v>79</v>
      </c>
      <c r="W1575" s="166"/>
      <c r="X1575" s="83" t="s">
        <v>80</v>
      </c>
      <c r="Y1575" s="168"/>
      <c r="Z1575" s="119" t="s">
        <v>79</v>
      </c>
      <c r="AA1575" s="168"/>
      <c r="AB1575" s="83" t="s">
        <v>80</v>
      </c>
      <c r="AC1575" s="166"/>
      <c r="AD1575" s="106" t="s">
        <v>3252</v>
      </c>
    </row>
    <row r="1576" spans="1:31" s="171" customFormat="1" ht="51">
      <c r="A1576" s="126"/>
      <c r="B1576" s="106" t="s">
        <v>3657</v>
      </c>
      <c r="C1576" s="172"/>
      <c r="D1576" s="106" t="s">
        <v>3294</v>
      </c>
      <c r="E1576" s="126"/>
      <c r="F1576" s="83" t="s">
        <v>254</v>
      </c>
      <c r="G1576" s="126"/>
      <c r="H1576" s="26" t="s">
        <v>116</v>
      </c>
      <c r="I1576" s="126"/>
      <c r="J1576" s="83" t="s">
        <v>605</v>
      </c>
      <c r="K1576" s="126"/>
      <c r="L1576" s="83" t="s">
        <v>737</v>
      </c>
      <c r="M1576" s="126"/>
      <c r="N1576" s="106" t="s">
        <v>96</v>
      </c>
      <c r="O1576" s="172"/>
      <c r="P1576" s="106" t="s">
        <v>3250</v>
      </c>
      <c r="Q1576" s="126"/>
      <c r="R1576" s="83" t="s">
        <v>77</v>
      </c>
      <c r="S1576" s="126"/>
      <c r="T1576" s="124" t="s">
        <v>3251</v>
      </c>
      <c r="U1576" s="166"/>
      <c r="V1576" s="83" t="s">
        <v>79</v>
      </c>
      <c r="W1576" s="166"/>
      <c r="X1576" s="83" t="s">
        <v>80</v>
      </c>
      <c r="Y1576" s="168"/>
      <c r="Z1576" s="119" t="s">
        <v>79</v>
      </c>
      <c r="AA1576" s="168"/>
      <c r="AB1576" s="83" t="s">
        <v>80</v>
      </c>
      <c r="AC1576" s="166"/>
      <c r="AD1576" s="106" t="s">
        <v>3252</v>
      </c>
    </row>
    <row r="1577" spans="1:31" s="171" customFormat="1" ht="51">
      <c r="A1577" s="126"/>
      <c r="B1577" s="106" t="s">
        <v>3658</v>
      </c>
      <c r="C1577" s="172"/>
      <c r="D1577" s="106" t="s">
        <v>3275</v>
      </c>
      <c r="E1577" s="126"/>
      <c r="F1577" s="83" t="s">
        <v>254</v>
      </c>
      <c r="G1577" s="126"/>
      <c r="H1577" s="26" t="s">
        <v>116</v>
      </c>
      <c r="I1577" s="126"/>
      <c r="J1577" s="83" t="s">
        <v>605</v>
      </c>
      <c r="K1577" s="126"/>
      <c r="L1577" s="83" t="s">
        <v>737</v>
      </c>
      <c r="M1577" s="126"/>
      <c r="N1577" s="106" t="s">
        <v>96</v>
      </c>
      <c r="O1577" s="172"/>
      <c r="P1577" s="106" t="s">
        <v>3250</v>
      </c>
      <c r="Q1577" s="126"/>
      <c r="R1577" s="83" t="s">
        <v>77</v>
      </c>
      <c r="S1577" s="126"/>
      <c r="T1577" s="124" t="s">
        <v>3251</v>
      </c>
      <c r="U1577" s="166"/>
      <c r="V1577" s="83" t="s">
        <v>79</v>
      </c>
      <c r="W1577" s="166"/>
      <c r="X1577" s="83" t="s">
        <v>80</v>
      </c>
      <c r="Y1577" s="168"/>
      <c r="Z1577" s="119" t="s">
        <v>79</v>
      </c>
      <c r="AA1577" s="168"/>
      <c r="AB1577" s="83" t="s">
        <v>80</v>
      </c>
      <c r="AC1577" s="166"/>
      <c r="AD1577" s="106" t="s">
        <v>3252</v>
      </c>
    </row>
    <row r="1578" spans="1:31" s="171" customFormat="1" ht="51">
      <c r="A1578" s="126"/>
      <c r="B1578" s="106" t="s">
        <v>3659</v>
      </c>
      <c r="C1578" s="172"/>
      <c r="D1578" s="106" t="s">
        <v>362</v>
      </c>
      <c r="E1578" s="126"/>
      <c r="F1578" s="23" t="s">
        <v>363</v>
      </c>
      <c r="G1578" s="126"/>
      <c r="H1578" s="26" t="s">
        <v>116</v>
      </c>
      <c r="I1578" s="126"/>
      <c r="J1578" s="83" t="s">
        <v>605</v>
      </c>
      <c r="K1578" s="126"/>
      <c r="L1578" s="83" t="s">
        <v>737</v>
      </c>
      <c r="M1578" s="126"/>
      <c r="N1578" s="106" t="s">
        <v>96</v>
      </c>
      <c r="O1578" s="172"/>
      <c r="P1578" s="106" t="s">
        <v>3250</v>
      </c>
      <c r="Q1578" s="126"/>
      <c r="R1578" s="83" t="s">
        <v>77</v>
      </c>
      <c r="S1578" s="126"/>
      <c r="T1578" s="124" t="s">
        <v>3251</v>
      </c>
      <c r="U1578" s="166"/>
      <c r="V1578" s="83" t="s">
        <v>79</v>
      </c>
      <c r="W1578" s="166"/>
      <c r="X1578" s="83" t="s">
        <v>80</v>
      </c>
      <c r="Y1578" s="168"/>
      <c r="Z1578" s="119" t="s">
        <v>79</v>
      </c>
      <c r="AA1578" s="168"/>
      <c r="AB1578" s="83" t="s">
        <v>80</v>
      </c>
      <c r="AC1578" s="166"/>
      <c r="AD1578" s="106" t="s">
        <v>3252</v>
      </c>
    </row>
    <row r="1579" spans="1:31" s="171" customFormat="1" ht="51">
      <c r="A1579" s="126"/>
      <c r="B1579" s="106" t="s">
        <v>3660</v>
      </c>
      <c r="C1579" s="172"/>
      <c r="D1579" s="106" t="s">
        <v>702</v>
      </c>
      <c r="E1579" s="126"/>
      <c r="F1579" s="83" t="s">
        <v>370</v>
      </c>
      <c r="G1579" s="126"/>
      <c r="H1579" s="26" t="s">
        <v>116</v>
      </c>
      <c r="I1579" s="126"/>
      <c r="J1579" s="83" t="s">
        <v>605</v>
      </c>
      <c r="K1579" s="126"/>
      <c r="L1579" s="83" t="s">
        <v>737</v>
      </c>
      <c r="M1579" s="126"/>
      <c r="N1579" s="106" t="s">
        <v>96</v>
      </c>
      <c r="O1579" s="172"/>
      <c r="P1579" s="106" t="s">
        <v>3250</v>
      </c>
      <c r="Q1579" s="126"/>
      <c r="R1579" s="83" t="s">
        <v>77</v>
      </c>
      <c r="S1579" s="126"/>
      <c r="T1579" s="124" t="s">
        <v>3251</v>
      </c>
      <c r="U1579" s="166"/>
      <c r="V1579" s="83" t="s">
        <v>79</v>
      </c>
      <c r="W1579" s="166"/>
      <c r="X1579" s="83" t="s">
        <v>80</v>
      </c>
      <c r="Y1579" s="168"/>
      <c r="Z1579" s="119" t="s">
        <v>79</v>
      </c>
      <c r="AA1579" s="168"/>
      <c r="AB1579" s="83" t="s">
        <v>80</v>
      </c>
      <c r="AC1579" s="166"/>
      <c r="AD1579" s="106" t="s">
        <v>3252</v>
      </c>
    </row>
    <row r="1580" spans="1:31" s="171" customFormat="1" ht="51">
      <c r="A1580" s="126"/>
      <c r="B1580" s="106" t="s">
        <v>3661</v>
      </c>
      <c r="C1580" s="172"/>
      <c r="D1580" s="106" t="s">
        <v>2480</v>
      </c>
      <c r="E1580" s="126"/>
      <c r="F1580" s="23" t="s">
        <v>363</v>
      </c>
      <c r="G1580" s="126"/>
      <c r="H1580" s="26" t="s">
        <v>116</v>
      </c>
      <c r="I1580" s="126"/>
      <c r="J1580" s="83" t="s">
        <v>605</v>
      </c>
      <c r="K1580" s="126"/>
      <c r="L1580" s="83" t="s">
        <v>737</v>
      </c>
      <c r="M1580" s="126"/>
      <c r="N1580" s="106" t="s">
        <v>96</v>
      </c>
      <c r="O1580" s="172"/>
      <c r="P1580" s="106" t="s">
        <v>3250</v>
      </c>
      <c r="Q1580" s="126"/>
      <c r="R1580" s="83" t="s">
        <v>77</v>
      </c>
      <c r="S1580" s="126"/>
      <c r="T1580" s="124" t="s">
        <v>3251</v>
      </c>
      <c r="U1580" s="166"/>
      <c r="V1580" s="83" t="s">
        <v>79</v>
      </c>
      <c r="W1580" s="166"/>
      <c r="X1580" s="83" t="s">
        <v>80</v>
      </c>
      <c r="Y1580" s="168"/>
      <c r="Z1580" s="119" t="s">
        <v>79</v>
      </c>
      <c r="AA1580" s="168"/>
      <c r="AB1580" s="83" t="s">
        <v>80</v>
      </c>
      <c r="AC1580" s="166"/>
      <c r="AD1580" s="106" t="s">
        <v>3252</v>
      </c>
    </row>
    <row r="1581" spans="1:31" s="171" customFormat="1" ht="51">
      <c r="A1581" s="126"/>
      <c r="B1581" s="106" t="s">
        <v>3662</v>
      </c>
      <c r="C1581" s="172"/>
      <c r="D1581" s="106" t="s">
        <v>702</v>
      </c>
      <c r="E1581" s="126"/>
      <c r="F1581" s="83" t="s">
        <v>370</v>
      </c>
      <c r="G1581" s="126"/>
      <c r="H1581" s="26" t="s">
        <v>116</v>
      </c>
      <c r="I1581" s="126"/>
      <c r="J1581" s="83" t="s">
        <v>605</v>
      </c>
      <c r="K1581" s="126"/>
      <c r="L1581" s="83" t="s">
        <v>737</v>
      </c>
      <c r="M1581" s="126"/>
      <c r="N1581" s="106" t="s">
        <v>96</v>
      </c>
      <c r="O1581" s="172"/>
      <c r="P1581" s="106" t="s">
        <v>3250</v>
      </c>
      <c r="Q1581" s="126"/>
      <c r="R1581" s="83" t="s">
        <v>77</v>
      </c>
      <c r="S1581" s="126"/>
      <c r="T1581" s="124" t="s">
        <v>3251</v>
      </c>
      <c r="U1581" s="166"/>
      <c r="V1581" s="83" t="s">
        <v>79</v>
      </c>
      <c r="W1581" s="166"/>
      <c r="X1581" s="83" t="s">
        <v>80</v>
      </c>
      <c r="Y1581" s="168"/>
      <c r="Z1581" s="119" t="s">
        <v>79</v>
      </c>
      <c r="AA1581" s="168"/>
      <c r="AB1581" s="83" t="s">
        <v>80</v>
      </c>
      <c r="AC1581" s="166"/>
      <c r="AD1581" s="106" t="s">
        <v>3252</v>
      </c>
    </row>
    <row r="1582" spans="1:31" s="171" customFormat="1" ht="51">
      <c r="A1582" s="126"/>
      <c r="B1582" s="106" t="s">
        <v>3663</v>
      </c>
      <c r="C1582" s="172"/>
      <c r="D1582" s="106" t="s">
        <v>3275</v>
      </c>
      <c r="E1582" s="126"/>
      <c r="F1582" s="83" t="s">
        <v>254</v>
      </c>
      <c r="G1582" s="126"/>
      <c r="H1582" s="26" t="s">
        <v>116</v>
      </c>
      <c r="I1582" s="126"/>
      <c r="J1582" s="83" t="s">
        <v>605</v>
      </c>
      <c r="K1582" s="126"/>
      <c r="L1582" s="83" t="s">
        <v>737</v>
      </c>
      <c r="M1582" s="126"/>
      <c r="N1582" s="106" t="s">
        <v>96</v>
      </c>
      <c r="O1582" s="172"/>
      <c r="P1582" s="106" t="s">
        <v>3250</v>
      </c>
      <c r="Q1582" s="126"/>
      <c r="R1582" s="83" t="s">
        <v>77</v>
      </c>
      <c r="S1582" s="126"/>
      <c r="T1582" s="124" t="s">
        <v>3251</v>
      </c>
      <c r="U1582" s="166"/>
      <c r="V1582" s="83" t="s">
        <v>79</v>
      </c>
      <c r="W1582" s="166"/>
      <c r="X1582" s="83" t="s">
        <v>80</v>
      </c>
      <c r="Y1582" s="168"/>
      <c r="Z1582" s="119" t="s">
        <v>79</v>
      </c>
      <c r="AA1582" s="168"/>
      <c r="AB1582" s="83" t="s">
        <v>80</v>
      </c>
      <c r="AC1582" s="166"/>
      <c r="AD1582" s="106" t="s">
        <v>3252</v>
      </c>
    </row>
    <row r="1583" spans="1:31" s="171" customFormat="1" ht="51">
      <c r="A1583" s="126"/>
      <c r="B1583" s="106" t="s">
        <v>3664</v>
      </c>
      <c r="C1583" s="172"/>
      <c r="D1583" s="106" t="s">
        <v>1137</v>
      </c>
      <c r="E1583" s="126"/>
      <c r="F1583" s="83" t="s">
        <v>254</v>
      </c>
      <c r="G1583" s="126"/>
      <c r="H1583" s="26" t="s">
        <v>116</v>
      </c>
      <c r="I1583" s="126"/>
      <c r="J1583" s="83" t="s">
        <v>605</v>
      </c>
      <c r="K1583" s="126"/>
      <c r="L1583" s="83" t="s">
        <v>737</v>
      </c>
      <c r="M1583" s="126"/>
      <c r="N1583" s="106" t="s">
        <v>96</v>
      </c>
      <c r="O1583" s="172"/>
      <c r="P1583" s="106" t="s">
        <v>3250</v>
      </c>
      <c r="Q1583" s="126"/>
      <c r="R1583" s="83" t="s">
        <v>77</v>
      </c>
      <c r="S1583" s="126"/>
      <c r="T1583" s="124" t="s">
        <v>3251</v>
      </c>
      <c r="U1583" s="166"/>
      <c r="V1583" s="83" t="s">
        <v>79</v>
      </c>
      <c r="W1583" s="166"/>
      <c r="X1583" s="83" t="s">
        <v>80</v>
      </c>
      <c r="Y1583" s="168"/>
      <c r="Z1583" s="119" t="s">
        <v>79</v>
      </c>
      <c r="AA1583" s="168"/>
      <c r="AB1583" s="83" t="s">
        <v>80</v>
      </c>
      <c r="AC1583" s="166"/>
      <c r="AD1583" s="106" t="s">
        <v>3252</v>
      </c>
    </row>
    <row r="1584" spans="1:31" s="177" customFormat="1" ht="51">
      <c r="A1584" s="138"/>
      <c r="B1584" s="146" t="s">
        <v>3665</v>
      </c>
      <c r="C1584" s="173"/>
      <c r="D1584" s="146" t="s">
        <v>3666</v>
      </c>
      <c r="E1584" s="138"/>
      <c r="F1584" s="148" t="s">
        <v>254</v>
      </c>
      <c r="G1584" s="138"/>
      <c r="H1584" s="133" t="s">
        <v>116</v>
      </c>
      <c r="I1584" s="138"/>
      <c r="J1584" s="148" t="s">
        <v>605</v>
      </c>
      <c r="K1584" s="138"/>
      <c r="L1584" s="148" t="s">
        <v>737</v>
      </c>
      <c r="M1584" s="138"/>
      <c r="N1584" s="146" t="s">
        <v>96</v>
      </c>
      <c r="O1584" s="173"/>
      <c r="P1584" s="146" t="s">
        <v>3250</v>
      </c>
      <c r="Q1584" s="138"/>
      <c r="R1584" s="148" t="s">
        <v>77</v>
      </c>
      <c r="S1584" s="138"/>
      <c r="T1584" s="124" t="s">
        <v>3251</v>
      </c>
      <c r="U1584" s="175"/>
      <c r="V1584" s="83" t="s">
        <v>79</v>
      </c>
      <c r="W1584" s="166"/>
      <c r="X1584" s="83" t="s">
        <v>80</v>
      </c>
      <c r="Y1584" s="176"/>
      <c r="Z1584" s="119" t="s">
        <v>79</v>
      </c>
      <c r="AA1584" s="168"/>
      <c r="AB1584" s="83" t="s">
        <v>80</v>
      </c>
      <c r="AC1584" s="175"/>
      <c r="AD1584" s="106" t="s">
        <v>3252</v>
      </c>
      <c r="AE1584" s="171"/>
    </row>
    <row r="1585" spans="1:31" s="171" customFormat="1" ht="51">
      <c r="A1585" s="126"/>
      <c r="B1585" s="106" t="s">
        <v>3667</v>
      </c>
      <c r="C1585" s="172"/>
      <c r="D1585" s="106" t="s">
        <v>3287</v>
      </c>
      <c r="E1585" s="126"/>
      <c r="F1585" s="83" t="s">
        <v>254</v>
      </c>
      <c r="G1585" s="126"/>
      <c r="H1585" s="26" t="s">
        <v>116</v>
      </c>
      <c r="I1585" s="126"/>
      <c r="J1585" s="83" t="s">
        <v>605</v>
      </c>
      <c r="K1585" s="126"/>
      <c r="L1585" s="83" t="s">
        <v>737</v>
      </c>
      <c r="M1585" s="126"/>
      <c r="N1585" s="106" t="s">
        <v>96</v>
      </c>
      <c r="O1585" s="172"/>
      <c r="P1585" s="106" t="s">
        <v>3250</v>
      </c>
      <c r="Q1585" s="126"/>
      <c r="R1585" s="83" t="s">
        <v>77</v>
      </c>
      <c r="S1585" s="126"/>
      <c r="T1585" s="124" t="s">
        <v>3251</v>
      </c>
      <c r="U1585" s="166"/>
      <c r="V1585" s="83" t="s">
        <v>79</v>
      </c>
      <c r="W1585" s="166"/>
      <c r="X1585" s="83" t="s">
        <v>80</v>
      </c>
      <c r="Y1585" s="168"/>
      <c r="Z1585" s="119" t="s">
        <v>79</v>
      </c>
      <c r="AA1585" s="168"/>
      <c r="AB1585" s="83" t="s">
        <v>80</v>
      </c>
      <c r="AC1585" s="166"/>
      <c r="AD1585" s="106" t="s">
        <v>3252</v>
      </c>
    </row>
    <row r="1586" spans="1:31" s="171" customFormat="1" ht="51">
      <c r="A1586" s="126"/>
      <c r="B1586" s="106" t="s">
        <v>3668</v>
      </c>
      <c r="C1586" s="172"/>
      <c r="D1586" s="106" t="s">
        <v>2574</v>
      </c>
      <c r="E1586" s="126"/>
      <c r="F1586" s="83" t="s">
        <v>394</v>
      </c>
      <c r="G1586" s="126"/>
      <c r="H1586" s="26" t="s">
        <v>116</v>
      </c>
      <c r="I1586" s="126"/>
      <c r="J1586" s="83" t="s">
        <v>605</v>
      </c>
      <c r="K1586" s="126"/>
      <c r="L1586" s="83" t="s">
        <v>737</v>
      </c>
      <c r="M1586" s="126"/>
      <c r="N1586" s="106" t="s">
        <v>96</v>
      </c>
      <c r="O1586" s="172"/>
      <c r="P1586" s="106" t="s">
        <v>3250</v>
      </c>
      <c r="Q1586" s="126"/>
      <c r="R1586" s="83" t="s">
        <v>77</v>
      </c>
      <c r="S1586" s="126"/>
      <c r="T1586" s="124" t="s">
        <v>3251</v>
      </c>
      <c r="U1586" s="166"/>
      <c r="V1586" s="83" t="s">
        <v>79</v>
      </c>
      <c r="W1586" s="166"/>
      <c r="X1586" s="83" t="s">
        <v>80</v>
      </c>
      <c r="Y1586" s="168"/>
      <c r="Z1586" s="119" t="s">
        <v>79</v>
      </c>
      <c r="AA1586" s="168"/>
      <c r="AB1586" s="83" t="s">
        <v>80</v>
      </c>
      <c r="AC1586" s="166"/>
      <c r="AD1586" s="106" t="s">
        <v>3252</v>
      </c>
      <c r="AE1586" s="177"/>
    </row>
    <row r="1587" spans="1:31" s="171" customFormat="1" ht="51">
      <c r="A1587" s="126"/>
      <c r="B1587" s="106" t="s">
        <v>3669</v>
      </c>
      <c r="C1587" s="172"/>
      <c r="D1587" s="106" t="s">
        <v>3315</v>
      </c>
      <c r="E1587" s="126"/>
      <c r="F1587" s="83" t="s">
        <v>254</v>
      </c>
      <c r="G1587" s="126"/>
      <c r="H1587" s="26" t="s">
        <v>116</v>
      </c>
      <c r="I1587" s="126"/>
      <c r="J1587" s="83" t="s">
        <v>605</v>
      </c>
      <c r="K1587" s="126"/>
      <c r="L1587" s="83" t="s">
        <v>737</v>
      </c>
      <c r="M1587" s="126"/>
      <c r="N1587" s="106" t="s">
        <v>96</v>
      </c>
      <c r="O1587" s="172"/>
      <c r="P1587" s="106" t="s">
        <v>3250</v>
      </c>
      <c r="Q1587" s="126"/>
      <c r="R1587" s="83" t="s">
        <v>77</v>
      </c>
      <c r="S1587" s="126"/>
      <c r="T1587" s="124" t="s">
        <v>3251</v>
      </c>
      <c r="U1587" s="166"/>
      <c r="V1587" s="83" t="s">
        <v>79</v>
      </c>
      <c r="W1587" s="166"/>
      <c r="X1587" s="83" t="s">
        <v>80</v>
      </c>
      <c r="Y1587" s="168"/>
      <c r="Z1587" s="119" t="s">
        <v>79</v>
      </c>
      <c r="AA1587" s="168"/>
      <c r="AB1587" s="83" t="s">
        <v>80</v>
      </c>
      <c r="AC1587" s="166"/>
      <c r="AD1587" s="106" t="s">
        <v>3252</v>
      </c>
    </row>
    <row r="1588" spans="1:31" s="171" customFormat="1" ht="51">
      <c r="A1588" s="126"/>
      <c r="B1588" s="106" t="s">
        <v>3670</v>
      </c>
      <c r="C1588" s="172"/>
      <c r="D1588" s="106" t="s">
        <v>3287</v>
      </c>
      <c r="E1588" s="126"/>
      <c r="F1588" s="83" t="s">
        <v>254</v>
      </c>
      <c r="G1588" s="126"/>
      <c r="H1588" s="26" t="s">
        <v>116</v>
      </c>
      <c r="I1588" s="126"/>
      <c r="J1588" s="83" t="s">
        <v>605</v>
      </c>
      <c r="K1588" s="126"/>
      <c r="L1588" s="83" t="s">
        <v>737</v>
      </c>
      <c r="M1588" s="126"/>
      <c r="N1588" s="106" t="s">
        <v>96</v>
      </c>
      <c r="O1588" s="172"/>
      <c r="P1588" s="106" t="s">
        <v>3250</v>
      </c>
      <c r="Q1588" s="126"/>
      <c r="R1588" s="83" t="s">
        <v>77</v>
      </c>
      <c r="S1588" s="126"/>
      <c r="T1588" s="124" t="s">
        <v>3251</v>
      </c>
      <c r="U1588" s="166"/>
      <c r="V1588" s="83" t="s">
        <v>79</v>
      </c>
      <c r="W1588" s="166"/>
      <c r="X1588" s="83" t="s">
        <v>80</v>
      </c>
      <c r="Y1588" s="168"/>
      <c r="Z1588" s="119" t="s">
        <v>79</v>
      </c>
      <c r="AA1588" s="168"/>
      <c r="AB1588" s="83" t="s">
        <v>80</v>
      </c>
      <c r="AC1588" s="166"/>
      <c r="AD1588" s="106" t="s">
        <v>3252</v>
      </c>
    </row>
    <row r="1589" spans="1:31" s="171" customFormat="1" ht="51">
      <c r="A1589" s="126"/>
      <c r="B1589" s="106" t="s">
        <v>3671</v>
      </c>
      <c r="C1589" s="172"/>
      <c r="D1589" s="106" t="s">
        <v>702</v>
      </c>
      <c r="E1589" s="126"/>
      <c r="F1589" s="83" t="s">
        <v>370</v>
      </c>
      <c r="G1589" s="126"/>
      <c r="H1589" s="26" t="s">
        <v>116</v>
      </c>
      <c r="I1589" s="126"/>
      <c r="J1589" s="83" t="s">
        <v>605</v>
      </c>
      <c r="K1589" s="126"/>
      <c r="L1589" s="83" t="s">
        <v>737</v>
      </c>
      <c r="M1589" s="126"/>
      <c r="N1589" s="106" t="s">
        <v>96</v>
      </c>
      <c r="O1589" s="172"/>
      <c r="P1589" s="106" t="s">
        <v>3250</v>
      </c>
      <c r="Q1589" s="126"/>
      <c r="R1589" s="83" t="s">
        <v>77</v>
      </c>
      <c r="S1589" s="126"/>
      <c r="T1589" s="124" t="s">
        <v>3251</v>
      </c>
      <c r="U1589" s="166"/>
      <c r="V1589" s="83" t="s">
        <v>79</v>
      </c>
      <c r="W1589" s="166"/>
      <c r="X1589" s="83" t="s">
        <v>80</v>
      </c>
      <c r="Y1589" s="168"/>
      <c r="Z1589" s="119" t="s">
        <v>79</v>
      </c>
      <c r="AA1589" s="168"/>
      <c r="AB1589" s="83" t="s">
        <v>80</v>
      </c>
      <c r="AC1589" s="166"/>
      <c r="AD1589" s="106" t="s">
        <v>3252</v>
      </c>
    </row>
    <row r="1590" spans="1:31" s="171" customFormat="1" ht="51">
      <c r="A1590" s="126"/>
      <c r="B1590" s="106" t="s">
        <v>3672</v>
      </c>
      <c r="C1590" s="172"/>
      <c r="D1590" s="106" t="s">
        <v>2875</v>
      </c>
      <c r="E1590" s="126"/>
      <c r="F1590" s="83" t="s">
        <v>123</v>
      </c>
      <c r="G1590" s="126"/>
      <c r="H1590" s="26" t="s">
        <v>116</v>
      </c>
      <c r="I1590" s="126"/>
      <c r="J1590" s="83" t="s">
        <v>605</v>
      </c>
      <c r="K1590" s="126"/>
      <c r="L1590" s="83" t="s">
        <v>737</v>
      </c>
      <c r="M1590" s="126"/>
      <c r="N1590" s="106" t="s">
        <v>96</v>
      </c>
      <c r="O1590" s="172"/>
      <c r="P1590" s="106" t="s">
        <v>3250</v>
      </c>
      <c r="Q1590" s="126"/>
      <c r="R1590" s="83" t="s">
        <v>77</v>
      </c>
      <c r="S1590" s="126"/>
      <c r="T1590" s="124" t="s">
        <v>3251</v>
      </c>
      <c r="U1590" s="166"/>
      <c r="V1590" s="83" t="s">
        <v>79</v>
      </c>
      <c r="W1590" s="166"/>
      <c r="X1590" s="83" t="s">
        <v>80</v>
      </c>
      <c r="Y1590" s="168"/>
      <c r="Z1590" s="119" t="s">
        <v>79</v>
      </c>
      <c r="AA1590" s="168"/>
      <c r="AB1590" s="83" t="s">
        <v>80</v>
      </c>
      <c r="AC1590" s="166"/>
      <c r="AD1590" s="106" t="s">
        <v>3252</v>
      </c>
    </row>
    <row r="1591" spans="1:31" s="171" customFormat="1" ht="51">
      <c r="A1591" s="126"/>
      <c r="B1591" s="106" t="s">
        <v>3673</v>
      </c>
      <c r="C1591" s="172"/>
      <c r="D1591" s="106" t="s">
        <v>3287</v>
      </c>
      <c r="E1591" s="126"/>
      <c r="F1591" s="83" t="s">
        <v>254</v>
      </c>
      <c r="G1591" s="126"/>
      <c r="H1591" s="26" t="s">
        <v>116</v>
      </c>
      <c r="I1591" s="126"/>
      <c r="J1591" s="83" t="s">
        <v>605</v>
      </c>
      <c r="K1591" s="126"/>
      <c r="L1591" s="83" t="s">
        <v>737</v>
      </c>
      <c r="M1591" s="126"/>
      <c r="N1591" s="106" t="s">
        <v>96</v>
      </c>
      <c r="O1591" s="172"/>
      <c r="P1591" s="106" t="s">
        <v>3250</v>
      </c>
      <c r="Q1591" s="126"/>
      <c r="R1591" s="83" t="s">
        <v>77</v>
      </c>
      <c r="S1591" s="126"/>
      <c r="T1591" s="124" t="s">
        <v>3251</v>
      </c>
      <c r="U1591" s="166"/>
      <c r="V1591" s="83" t="s">
        <v>79</v>
      </c>
      <c r="W1591" s="166"/>
      <c r="X1591" s="83" t="s">
        <v>80</v>
      </c>
      <c r="Y1591" s="168"/>
      <c r="Z1591" s="119" t="s">
        <v>79</v>
      </c>
      <c r="AA1591" s="168"/>
      <c r="AB1591" s="83" t="s">
        <v>80</v>
      </c>
      <c r="AC1591" s="166"/>
      <c r="AD1591" s="106" t="s">
        <v>3252</v>
      </c>
    </row>
    <row r="1592" spans="1:31" s="171" customFormat="1" ht="51">
      <c r="A1592" s="126"/>
      <c r="B1592" s="106" t="s">
        <v>3674</v>
      </c>
      <c r="C1592" s="172"/>
      <c r="D1592" s="106" t="s">
        <v>362</v>
      </c>
      <c r="E1592" s="126"/>
      <c r="F1592" s="23" t="s">
        <v>363</v>
      </c>
      <c r="G1592" s="126"/>
      <c r="H1592" s="26" t="s">
        <v>116</v>
      </c>
      <c r="I1592" s="126"/>
      <c r="J1592" s="83" t="s">
        <v>605</v>
      </c>
      <c r="K1592" s="126"/>
      <c r="L1592" s="83" t="s">
        <v>737</v>
      </c>
      <c r="M1592" s="126"/>
      <c r="N1592" s="106" t="s">
        <v>96</v>
      </c>
      <c r="O1592" s="172"/>
      <c r="P1592" s="106" t="s">
        <v>3250</v>
      </c>
      <c r="Q1592" s="126"/>
      <c r="R1592" s="83" t="s">
        <v>77</v>
      </c>
      <c r="S1592" s="126"/>
      <c r="T1592" s="124" t="s">
        <v>3251</v>
      </c>
      <c r="U1592" s="166"/>
      <c r="V1592" s="83" t="s">
        <v>79</v>
      </c>
      <c r="W1592" s="166"/>
      <c r="X1592" s="83" t="s">
        <v>80</v>
      </c>
      <c r="Y1592" s="168"/>
      <c r="Z1592" s="119" t="s">
        <v>79</v>
      </c>
      <c r="AA1592" s="168"/>
      <c r="AB1592" s="83" t="s">
        <v>80</v>
      </c>
      <c r="AC1592" s="166"/>
      <c r="AD1592" s="106" t="s">
        <v>3252</v>
      </c>
    </row>
    <row r="1593" spans="1:31" s="171" customFormat="1" ht="51">
      <c r="A1593" s="126"/>
      <c r="B1593" s="106" t="s">
        <v>3675</v>
      </c>
      <c r="C1593" s="172"/>
      <c r="D1593" s="106" t="s">
        <v>2465</v>
      </c>
      <c r="E1593" s="126"/>
      <c r="F1593" s="83" t="s">
        <v>254</v>
      </c>
      <c r="G1593" s="126"/>
      <c r="H1593" s="26" t="s">
        <v>116</v>
      </c>
      <c r="I1593" s="126"/>
      <c r="J1593" s="83" t="s">
        <v>3014</v>
      </c>
      <c r="K1593" s="126"/>
      <c r="L1593" s="83" t="s">
        <v>737</v>
      </c>
      <c r="M1593" s="126"/>
      <c r="N1593" s="106" t="s">
        <v>96</v>
      </c>
      <c r="O1593" s="172"/>
      <c r="P1593" s="106" t="s">
        <v>3250</v>
      </c>
      <c r="Q1593" s="126"/>
      <c r="R1593" s="83" t="s">
        <v>77</v>
      </c>
      <c r="S1593" s="126"/>
      <c r="T1593" s="124" t="s">
        <v>3251</v>
      </c>
      <c r="U1593" s="166"/>
      <c r="V1593" s="83" t="s">
        <v>79</v>
      </c>
      <c r="W1593" s="166"/>
      <c r="X1593" s="83" t="s">
        <v>80</v>
      </c>
      <c r="Y1593" s="168"/>
      <c r="Z1593" s="119" t="s">
        <v>79</v>
      </c>
      <c r="AA1593" s="168"/>
      <c r="AB1593" s="83" t="s">
        <v>80</v>
      </c>
      <c r="AC1593" s="166"/>
      <c r="AD1593" s="106" t="s">
        <v>3252</v>
      </c>
    </row>
    <row r="1594" spans="1:31" s="171" customFormat="1" ht="51">
      <c r="A1594" s="126"/>
      <c r="B1594" s="106" t="s">
        <v>3676</v>
      </c>
      <c r="C1594" s="172"/>
      <c r="D1594" s="106" t="s">
        <v>71</v>
      </c>
      <c r="E1594" s="126"/>
      <c r="F1594" s="83" t="s">
        <v>71</v>
      </c>
      <c r="G1594" s="126"/>
      <c r="H1594" s="26" t="s">
        <v>116</v>
      </c>
      <c r="I1594" s="126"/>
      <c r="J1594" s="83" t="s">
        <v>3014</v>
      </c>
      <c r="K1594" s="126"/>
      <c r="L1594" s="83" t="s">
        <v>737</v>
      </c>
      <c r="M1594" s="126"/>
      <c r="N1594" s="106" t="s">
        <v>96</v>
      </c>
      <c r="O1594" s="172"/>
      <c r="P1594" s="106" t="s">
        <v>3250</v>
      </c>
      <c r="Q1594" s="126"/>
      <c r="R1594" s="83" t="s">
        <v>77</v>
      </c>
      <c r="S1594" s="126"/>
      <c r="T1594" s="124" t="s">
        <v>3251</v>
      </c>
      <c r="U1594" s="166"/>
      <c r="V1594" s="83" t="s">
        <v>79</v>
      </c>
      <c r="W1594" s="166"/>
      <c r="X1594" s="83" t="s">
        <v>80</v>
      </c>
      <c r="Y1594" s="168"/>
      <c r="Z1594" s="119" t="s">
        <v>79</v>
      </c>
      <c r="AA1594" s="168"/>
      <c r="AB1594" s="83" t="s">
        <v>80</v>
      </c>
      <c r="AC1594" s="166"/>
      <c r="AD1594" s="106" t="s">
        <v>3252</v>
      </c>
    </row>
    <row r="1595" spans="1:31" s="171" customFormat="1" ht="51">
      <c r="A1595" s="126"/>
      <c r="B1595" s="106" t="s">
        <v>3677</v>
      </c>
      <c r="C1595" s="172"/>
      <c r="D1595" s="106" t="s">
        <v>71</v>
      </c>
      <c r="E1595" s="126"/>
      <c r="F1595" s="83" t="s">
        <v>71</v>
      </c>
      <c r="G1595" s="126"/>
      <c r="H1595" s="26" t="s">
        <v>116</v>
      </c>
      <c r="I1595" s="126"/>
      <c r="J1595" s="83" t="s">
        <v>3014</v>
      </c>
      <c r="K1595" s="126"/>
      <c r="L1595" s="83" t="s">
        <v>737</v>
      </c>
      <c r="M1595" s="126"/>
      <c r="N1595" s="106" t="s">
        <v>96</v>
      </c>
      <c r="O1595" s="172"/>
      <c r="P1595" s="106" t="s">
        <v>3250</v>
      </c>
      <c r="Q1595" s="126"/>
      <c r="R1595" s="83" t="s">
        <v>77</v>
      </c>
      <c r="S1595" s="126"/>
      <c r="T1595" s="124" t="s">
        <v>3251</v>
      </c>
      <c r="U1595" s="166"/>
      <c r="V1595" s="83" t="s">
        <v>79</v>
      </c>
      <c r="W1595" s="166"/>
      <c r="X1595" s="83" t="s">
        <v>80</v>
      </c>
      <c r="Y1595" s="168"/>
      <c r="Z1595" s="119" t="s">
        <v>79</v>
      </c>
      <c r="AA1595" s="168"/>
      <c r="AB1595" s="83" t="s">
        <v>80</v>
      </c>
      <c r="AC1595" s="166"/>
      <c r="AD1595" s="106" t="s">
        <v>3252</v>
      </c>
    </row>
    <row r="1596" spans="1:31" s="171" customFormat="1" ht="51">
      <c r="A1596" s="126"/>
      <c r="B1596" s="106" t="s">
        <v>3678</v>
      </c>
      <c r="C1596" s="172"/>
      <c r="D1596" s="106" t="s">
        <v>702</v>
      </c>
      <c r="E1596" s="126"/>
      <c r="F1596" s="83" t="s">
        <v>370</v>
      </c>
      <c r="G1596" s="126"/>
      <c r="H1596" s="26" t="s">
        <v>116</v>
      </c>
      <c r="I1596" s="126"/>
      <c r="J1596" s="83" t="s">
        <v>3063</v>
      </c>
      <c r="K1596" s="126"/>
      <c r="L1596" s="83" t="s">
        <v>737</v>
      </c>
      <c r="M1596" s="126"/>
      <c r="N1596" s="106" t="s">
        <v>96</v>
      </c>
      <c r="O1596" s="172"/>
      <c r="P1596" s="106" t="s">
        <v>3250</v>
      </c>
      <c r="Q1596" s="126"/>
      <c r="R1596" s="83" t="s">
        <v>77</v>
      </c>
      <c r="S1596" s="126"/>
      <c r="T1596" s="124" t="s">
        <v>3251</v>
      </c>
      <c r="U1596" s="166"/>
      <c r="V1596" s="83" t="s">
        <v>79</v>
      </c>
      <c r="W1596" s="166"/>
      <c r="X1596" s="83" t="s">
        <v>80</v>
      </c>
      <c r="Y1596" s="168"/>
      <c r="Z1596" s="119" t="s">
        <v>79</v>
      </c>
      <c r="AA1596" s="168"/>
      <c r="AB1596" s="83" t="s">
        <v>80</v>
      </c>
      <c r="AC1596" s="166"/>
      <c r="AD1596" s="106" t="s">
        <v>3252</v>
      </c>
    </row>
    <row r="1597" spans="1:31" s="171" customFormat="1" ht="51">
      <c r="A1597" s="126"/>
      <c r="B1597" s="106" t="s">
        <v>3679</v>
      </c>
      <c r="C1597" s="172"/>
      <c r="D1597" s="106" t="s">
        <v>702</v>
      </c>
      <c r="E1597" s="126"/>
      <c r="F1597" s="83" t="s">
        <v>370</v>
      </c>
      <c r="G1597" s="126"/>
      <c r="H1597" s="26" t="s">
        <v>116</v>
      </c>
      <c r="I1597" s="126"/>
      <c r="J1597" s="83" t="s">
        <v>3063</v>
      </c>
      <c r="K1597" s="126"/>
      <c r="L1597" s="83" t="s">
        <v>737</v>
      </c>
      <c r="M1597" s="126"/>
      <c r="N1597" s="106" t="s">
        <v>96</v>
      </c>
      <c r="O1597" s="172"/>
      <c r="P1597" s="106" t="s">
        <v>3250</v>
      </c>
      <c r="Q1597" s="126"/>
      <c r="R1597" s="83" t="s">
        <v>77</v>
      </c>
      <c r="S1597" s="126"/>
      <c r="T1597" s="124" t="s">
        <v>3251</v>
      </c>
      <c r="U1597" s="166"/>
      <c r="V1597" s="83" t="s">
        <v>79</v>
      </c>
      <c r="W1597" s="166"/>
      <c r="X1597" s="83" t="s">
        <v>80</v>
      </c>
      <c r="Y1597" s="168"/>
      <c r="Z1597" s="119" t="s">
        <v>79</v>
      </c>
      <c r="AA1597" s="168"/>
      <c r="AB1597" s="83" t="s">
        <v>80</v>
      </c>
      <c r="AC1597" s="166"/>
      <c r="AD1597" s="106" t="s">
        <v>3252</v>
      </c>
    </row>
    <row r="1598" spans="1:31" s="171" customFormat="1" ht="51">
      <c r="A1598" s="126"/>
      <c r="B1598" s="106" t="s">
        <v>3680</v>
      </c>
      <c r="C1598" s="172"/>
      <c r="D1598" s="106" t="s">
        <v>702</v>
      </c>
      <c r="E1598" s="126"/>
      <c r="F1598" s="83" t="s">
        <v>370</v>
      </c>
      <c r="G1598" s="126"/>
      <c r="H1598" s="26" t="s">
        <v>116</v>
      </c>
      <c r="I1598" s="126"/>
      <c r="J1598" s="83" t="s">
        <v>3063</v>
      </c>
      <c r="K1598" s="126"/>
      <c r="L1598" s="83" t="s">
        <v>737</v>
      </c>
      <c r="M1598" s="126"/>
      <c r="N1598" s="106" t="s">
        <v>96</v>
      </c>
      <c r="O1598" s="172"/>
      <c r="P1598" s="106" t="s">
        <v>3250</v>
      </c>
      <c r="Q1598" s="126"/>
      <c r="R1598" s="83" t="s">
        <v>77</v>
      </c>
      <c r="S1598" s="126"/>
      <c r="T1598" s="124" t="s">
        <v>3251</v>
      </c>
      <c r="U1598" s="166"/>
      <c r="V1598" s="83" t="s">
        <v>79</v>
      </c>
      <c r="W1598" s="166"/>
      <c r="X1598" s="83" t="s">
        <v>80</v>
      </c>
      <c r="Y1598" s="168"/>
      <c r="Z1598" s="119" t="s">
        <v>79</v>
      </c>
      <c r="AA1598" s="168"/>
      <c r="AB1598" s="83" t="s">
        <v>80</v>
      </c>
      <c r="AC1598" s="166"/>
      <c r="AD1598" s="106" t="s">
        <v>3252</v>
      </c>
    </row>
    <row r="1599" spans="1:31" s="171" customFormat="1" ht="51">
      <c r="A1599" s="126"/>
      <c r="B1599" s="106" t="s">
        <v>3681</v>
      </c>
      <c r="C1599" s="172"/>
      <c r="D1599" s="106" t="s">
        <v>702</v>
      </c>
      <c r="E1599" s="126"/>
      <c r="F1599" s="83" t="s">
        <v>370</v>
      </c>
      <c r="G1599" s="126"/>
      <c r="H1599" s="26" t="s">
        <v>116</v>
      </c>
      <c r="I1599" s="126"/>
      <c r="J1599" s="83" t="s">
        <v>3063</v>
      </c>
      <c r="K1599" s="126"/>
      <c r="L1599" s="83" t="s">
        <v>737</v>
      </c>
      <c r="M1599" s="126"/>
      <c r="N1599" s="106" t="s">
        <v>96</v>
      </c>
      <c r="O1599" s="172"/>
      <c r="P1599" s="106" t="s">
        <v>3250</v>
      </c>
      <c r="Q1599" s="126"/>
      <c r="R1599" s="83" t="s">
        <v>77</v>
      </c>
      <c r="S1599" s="126"/>
      <c r="T1599" s="124" t="s">
        <v>3251</v>
      </c>
      <c r="U1599" s="166"/>
      <c r="V1599" s="83" t="s">
        <v>79</v>
      </c>
      <c r="W1599" s="166"/>
      <c r="X1599" s="83" t="s">
        <v>80</v>
      </c>
      <c r="Y1599" s="168"/>
      <c r="Z1599" s="119" t="s">
        <v>79</v>
      </c>
      <c r="AA1599" s="168"/>
      <c r="AB1599" s="83" t="s">
        <v>80</v>
      </c>
      <c r="AC1599" s="166"/>
      <c r="AD1599" s="106" t="s">
        <v>3252</v>
      </c>
    </row>
    <row r="1600" spans="1:31" s="171" customFormat="1" ht="51">
      <c r="A1600" s="126"/>
      <c r="B1600" s="106" t="s">
        <v>3682</v>
      </c>
      <c r="C1600" s="172"/>
      <c r="D1600" s="106" t="s">
        <v>3271</v>
      </c>
      <c r="E1600" s="126"/>
      <c r="F1600" s="83" t="s">
        <v>254</v>
      </c>
      <c r="G1600" s="126"/>
      <c r="H1600" s="26" t="s">
        <v>116</v>
      </c>
      <c r="I1600" s="126"/>
      <c r="J1600" s="83" t="s">
        <v>3063</v>
      </c>
      <c r="K1600" s="126"/>
      <c r="L1600" s="83" t="s">
        <v>737</v>
      </c>
      <c r="M1600" s="126"/>
      <c r="N1600" s="106" t="s">
        <v>96</v>
      </c>
      <c r="O1600" s="172"/>
      <c r="P1600" s="106" t="s">
        <v>3250</v>
      </c>
      <c r="Q1600" s="126"/>
      <c r="R1600" s="83" t="s">
        <v>77</v>
      </c>
      <c r="S1600" s="126"/>
      <c r="T1600" s="124" t="s">
        <v>3251</v>
      </c>
      <c r="U1600" s="166"/>
      <c r="V1600" s="83" t="s">
        <v>79</v>
      </c>
      <c r="W1600" s="166"/>
      <c r="X1600" s="83" t="s">
        <v>80</v>
      </c>
      <c r="Y1600" s="168"/>
      <c r="Z1600" s="119" t="s">
        <v>79</v>
      </c>
      <c r="AA1600" s="168"/>
      <c r="AB1600" s="83" t="s">
        <v>80</v>
      </c>
      <c r="AC1600" s="166"/>
      <c r="AD1600" s="106" t="s">
        <v>3252</v>
      </c>
    </row>
    <row r="1601" spans="1:30" s="171" customFormat="1" ht="51">
      <c r="A1601" s="126"/>
      <c r="B1601" s="106" t="s">
        <v>3683</v>
      </c>
      <c r="C1601" s="172"/>
      <c r="D1601" s="106" t="s">
        <v>2303</v>
      </c>
      <c r="E1601" s="126"/>
      <c r="F1601" s="83" t="s">
        <v>2303</v>
      </c>
      <c r="G1601" s="126"/>
      <c r="H1601" s="26" t="s">
        <v>116</v>
      </c>
      <c r="I1601" s="126"/>
      <c r="J1601" s="83" t="s">
        <v>3063</v>
      </c>
      <c r="K1601" s="126"/>
      <c r="L1601" s="83" t="s">
        <v>737</v>
      </c>
      <c r="M1601" s="126"/>
      <c r="N1601" s="106" t="s">
        <v>96</v>
      </c>
      <c r="O1601" s="172"/>
      <c r="P1601" s="106" t="s">
        <v>3250</v>
      </c>
      <c r="Q1601" s="126"/>
      <c r="R1601" s="83" t="s">
        <v>77</v>
      </c>
      <c r="S1601" s="126"/>
      <c r="T1601" s="124" t="s">
        <v>3251</v>
      </c>
      <c r="U1601" s="166"/>
      <c r="V1601" s="83" t="s">
        <v>79</v>
      </c>
      <c r="W1601" s="166"/>
      <c r="X1601" s="83" t="s">
        <v>80</v>
      </c>
      <c r="Y1601" s="168"/>
      <c r="Z1601" s="119" t="s">
        <v>79</v>
      </c>
      <c r="AA1601" s="168"/>
      <c r="AB1601" s="83" t="s">
        <v>80</v>
      </c>
      <c r="AC1601" s="166"/>
      <c r="AD1601" s="106" t="s">
        <v>3252</v>
      </c>
    </row>
    <row r="1602" spans="1:30" s="171" customFormat="1" ht="51">
      <c r="A1602" s="126"/>
      <c r="B1602" s="106" t="s">
        <v>3684</v>
      </c>
      <c r="C1602" s="172"/>
      <c r="D1602" s="106" t="s">
        <v>2480</v>
      </c>
      <c r="E1602" s="126"/>
      <c r="F1602" s="23" t="s">
        <v>363</v>
      </c>
      <c r="G1602" s="126"/>
      <c r="H1602" s="26" t="s">
        <v>116</v>
      </c>
      <c r="I1602" s="126"/>
      <c r="J1602" s="83" t="s">
        <v>3411</v>
      </c>
      <c r="K1602" s="126"/>
      <c r="L1602" s="83" t="s">
        <v>737</v>
      </c>
      <c r="M1602" s="126"/>
      <c r="N1602" s="106" t="s">
        <v>96</v>
      </c>
      <c r="O1602" s="172"/>
      <c r="P1602" s="106" t="s">
        <v>3250</v>
      </c>
      <c r="Q1602" s="126"/>
      <c r="R1602" s="83" t="s">
        <v>77</v>
      </c>
      <c r="S1602" s="126"/>
      <c r="T1602" s="124" t="s">
        <v>3251</v>
      </c>
      <c r="U1602" s="166"/>
      <c r="V1602" s="83" t="s">
        <v>79</v>
      </c>
      <c r="W1602" s="166"/>
      <c r="X1602" s="83" t="s">
        <v>80</v>
      </c>
      <c r="Y1602" s="168"/>
      <c r="Z1602" s="119" t="s">
        <v>79</v>
      </c>
      <c r="AA1602" s="168"/>
      <c r="AB1602" s="83" t="s">
        <v>80</v>
      </c>
      <c r="AC1602" s="166"/>
      <c r="AD1602" s="106" t="s">
        <v>3252</v>
      </c>
    </row>
    <row r="1603" spans="1:30" s="171" customFormat="1" ht="51">
      <c r="A1603" s="126"/>
      <c r="B1603" s="106" t="s">
        <v>3685</v>
      </c>
      <c r="C1603" s="172"/>
      <c r="D1603" s="106" t="s">
        <v>362</v>
      </c>
      <c r="E1603" s="126"/>
      <c r="F1603" s="23" t="s">
        <v>363</v>
      </c>
      <c r="G1603" s="126"/>
      <c r="H1603" s="26" t="s">
        <v>116</v>
      </c>
      <c r="I1603" s="126"/>
      <c r="J1603" s="83" t="s">
        <v>3411</v>
      </c>
      <c r="K1603" s="126"/>
      <c r="L1603" s="83" t="s">
        <v>737</v>
      </c>
      <c r="M1603" s="126"/>
      <c r="N1603" s="106" t="s">
        <v>96</v>
      </c>
      <c r="O1603" s="172"/>
      <c r="P1603" s="106" t="s">
        <v>3250</v>
      </c>
      <c r="Q1603" s="126"/>
      <c r="R1603" s="83" t="s">
        <v>77</v>
      </c>
      <c r="S1603" s="126"/>
      <c r="T1603" s="124" t="s">
        <v>3251</v>
      </c>
      <c r="U1603" s="166"/>
      <c r="V1603" s="83" t="s">
        <v>79</v>
      </c>
      <c r="W1603" s="166"/>
      <c r="X1603" s="83" t="s">
        <v>80</v>
      </c>
      <c r="Y1603" s="168"/>
      <c r="Z1603" s="119" t="s">
        <v>79</v>
      </c>
      <c r="AA1603" s="168"/>
      <c r="AB1603" s="83" t="s">
        <v>80</v>
      </c>
      <c r="AC1603" s="166"/>
      <c r="AD1603" s="106" t="s">
        <v>3252</v>
      </c>
    </row>
    <row r="1604" spans="1:30" s="171" customFormat="1" ht="51">
      <c r="A1604" s="126"/>
      <c r="B1604" s="106" t="s">
        <v>3686</v>
      </c>
      <c r="C1604" s="172"/>
      <c r="D1604" s="106" t="s">
        <v>1434</v>
      </c>
      <c r="E1604" s="126"/>
      <c r="F1604" s="83" t="s">
        <v>254</v>
      </c>
      <c r="G1604" s="126"/>
      <c r="H1604" s="26" t="s">
        <v>116</v>
      </c>
      <c r="I1604" s="126"/>
      <c r="J1604" s="83" t="s">
        <v>3411</v>
      </c>
      <c r="K1604" s="126"/>
      <c r="L1604" s="83" t="s">
        <v>737</v>
      </c>
      <c r="M1604" s="126"/>
      <c r="N1604" s="106" t="s">
        <v>96</v>
      </c>
      <c r="O1604" s="172"/>
      <c r="P1604" s="106" t="s">
        <v>3250</v>
      </c>
      <c r="Q1604" s="126"/>
      <c r="R1604" s="83" t="s">
        <v>77</v>
      </c>
      <c r="S1604" s="126"/>
      <c r="T1604" s="124" t="s">
        <v>3251</v>
      </c>
      <c r="U1604" s="166"/>
      <c r="V1604" s="83" t="s">
        <v>79</v>
      </c>
      <c r="W1604" s="166"/>
      <c r="X1604" s="83" t="s">
        <v>80</v>
      </c>
      <c r="Y1604" s="168"/>
      <c r="Z1604" s="119" t="s">
        <v>79</v>
      </c>
      <c r="AA1604" s="168"/>
      <c r="AB1604" s="83" t="s">
        <v>80</v>
      </c>
      <c r="AC1604" s="166"/>
      <c r="AD1604" s="106" t="s">
        <v>3252</v>
      </c>
    </row>
    <row r="1605" spans="1:30" s="171" customFormat="1" ht="51">
      <c r="A1605" s="126"/>
      <c r="B1605" s="106" t="s">
        <v>3687</v>
      </c>
      <c r="C1605" s="172"/>
      <c r="D1605" s="106" t="s">
        <v>3626</v>
      </c>
      <c r="E1605" s="126"/>
      <c r="F1605" s="83" t="s">
        <v>254</v>
      </c>
      <c r="G1605" s="126"/>
      <c r="H1605" s="26" t="s">
        <v>116</v>
      </c>
      <c r="I1605" s="126"/>
      <c r="J1605" s="83" t="s">
        <v>3411</v>
      </c>
      <c r="K1605" s="126"/>
      <c r="L1605" s="83" t="s">
        <v>737</v>
      </c>
      <c r="M1605" s="126"/>
      <c r="N1605" s="106" t="s">
        <v>96</v>
      </c>
      <c r="O1605" s="172"/>
      <c r="P1605" s="106" t="s">
        <v>3250</v>
      </c>
      <c r="Q1605" s="126"/>
      <c r="R1605" s="83" t="s">
        <v>77</v>
      </c>
      <c r="S1605" s="126"/>
      <c r="T1605" s="124" t="s">
        <v>3251</v>
      </c>
      <c r="U1605" s="166"/>
      <c r="V1605" s="83" t="s">
        <v>79</v>
      </c>
      <c r="W1605" s="166"/>
      <c r="X1605" s="83" t="s">
        <v>80</v>
      </c>
      <c r="Y1605" s="168"/>
      <c r="Z1605" s="119" t="s">
        <v>79</v>
      </c>
      <c r="AA1605" s="168"/>
      <c r="AB1605" s="83" t="s">
        <v>80</v>
      </c>
      <c r="AC1605" s="166"/>
      <c r="AD1605" s="106" t="s">
        <v>3252</v>
      </c>
    </row>
    <row r="1606" spans="1:30" s="171" customFormat="1" ht="51">
      <c r="A1606" s="126"/>
      <c r="B1606" s="106" t="s">
        <v>3688</v>
      </c>
      <c r="C1606" s="172"/>
      <c r="D1606" s="106" t="s">
        <v>3689</v>
      </c>
      <c r="E1606" s="126"/>
      <c r="F1606" s="83" t="s">
        <v>394</v>
      </c>
      <c r="G1606" s="126"/>
      <c r="H1606" s="26" t="s">
        <v>116</v>
      </c>
      <c r="I1606" s="126"/>
      <c r="J1606" s="83" t="s">
        <v>3411</v>
      </c>
      <c r="K1606" s="126"/>
      <c r="L1606" s="83" t="s">
        <v>737</v>
      </c>
      <c r="M1606" s="126"/>
      <c r="N1606" s="106" t="s">
        <v>96</v>
      </c>
      <c r="O1606" s="172"/>
      <c r="P1606" s="106" t="s">
        <v>3250</v>
      </c>
      <c r="Q1606" s="126"/>
      <c r="R1606" s="83" t="s">
        <v>77</v>
      </c>
      <c r="S1606" s="126"/>
      <c r="T1606" s="124" t="s">
        <v>3251</v>
      </c>
      <c r="U1606" s="166"/>
      <c r="V1606" s="83" t="s">
        <v>79</v>
      </c>
      <c r="W1606" s="166"/>
      <c r="X1606" s="83" t="s">
        <v>80</v>
      </c>
      <c r="Y1606" s="168"/>
      <c r="Z1606" s="119" t="s">
        <v>79</v>
      </c>
      <c r="AA1606" s="168"/>
      <c r="AB1606" s="83" t="s">
        <v>80</v>
      </c>
      <c r="AC1606" s="166"/>
      <c r="AD1606" s="106" t="s">
        <v>3252</v>
      </c>
    </row>
    <row r="1607" spans="1:30" s="171" customFormat="1" ht="51">
      <c r="A1607" s="126"/>
      <c r="B1607" s="106" t="s">
        <v>3690</v>
      </c>
      <c r="C1607" s="172"/>
      <c r="D1607" s="106" t="s">
        <v>1515</v>
      </c>
      <c r="E1607" s="126"/>
      <c r="F1607" s="83" t="s">
        <v>254</v>
      </c>
      <c r="G1607" s="126"/>
      <c r="H1607" s="26" t="s">
        <v>116</v>
      </c>
      <c r="I1607" s="126"/>
      <c r="J1607" s="83" t="s">
        <v>3411</v>
      </c>
      <c r="K1607" s="126"/>
      <c r="L1607" s="83" t="s">
        <v>737</v>
      </c>
      <c r="M1607" s="126"/>
      <c r="N1607" s="106" t="s">
        <v>96</v>
      </c>
      <c r="O1607" s="172"/>
      <c r="P1607" s="106" t="s">
        <v>3250</v>
      </c>
      <c r="Q1607" s="126"/>
      <c r="R1607" s="83" t="s">
        <v>77</v>
      </c>
      <c r="S1607" s="126"/>
      <c r="T1607" s="124" t="s">
        <v>3251</v>
      </c>
      <c r="U1607" s="166"/>
      <c r="V1607" s="83" t="s">
        <v>79</v>
      </c>
      <c r="W1607" s="166"/>
      <c r="X1607" s="83" t="s">
        <v>80</v>
      </c>
      <c r="Y1607" s="168"/>
      <c r="Z1607" s="119" t="s">
        <v>79</v>
      </c>
      <c r="AA1607" s="168"/>
      <c r="AB1607" s="83" t="s">
        <v>80</v>
      </c>
      <c r="AC1607" s="166"/>
      <c r="AD1607" s="106" t="s">
        <v>3252</v>
      </c>
    </row>
    <row r="1608" spans="1:30" s="171" customFormat="1" ht="51">
      <c r="A1608" s="126"/>
      <c r="B1608" s="106" t="s">
        <v>3691</v>
      </c>
      <c r="C1608" s="172"/>
      <c r="D1608" s="106" t="s">
        <v>2574</v>
      </c>
      <c r="E1608" s="126"/>
      <c r="F1608" s="83" t="s">
        <v>394</v>
      </c>
      <c r="G1608" s="126"/>
      <c r="H1608" s="26" t="s">
        <v>116</v>
      </c>
      <c r="I1608" s="126"/>
      <c r="J1608" s="83" t="s">
        <v>3411</v>
      </c>
      <c r="K1608" s="126"/>
      <c r="L1608" s="83" t="s">
        <v>737</v>
      </c>
      <c r="M1608" s="126"/>
      <c r="N1608" s="106" t="s">
        <v>96</v>
      </c>
      <c r="O1608" s="172"/>
      <c r="P1608" s="106" t="s">
        <v>3250</v>
      </c>
      <c r="Q1608" s="126"/>
      <c r="R1608" s="83" t="s">
        <v>77</v>
      </c>
      <c r="S1608" s="126"/>
      <c r="T1608" s="124" t="s">
        <v>3251</v>
      </c>
      <c r="U1608" s="166"/>
      <c r="V1608" s="83" t="s">
        <v>79</v>
      </c>
      <c r="W1608" s="166"/>
      <c r="X1608" s="83" t="s">
        <v>80</v>
      </c>
      <c r="Y1608" s="168"/>
      <c r="Z1608" s="119" t="s">
        <v>79</v>
      </c>
      <c r="AA1608" s="168"/>
      <c r="AB1608" s="83" t="s">
        <v>80</v>
      </c>
      <c r="AC1608" s="166"/>
      <c r="AD1608" s="106" t="s">
        <v>3252</v>
      </c>
    </row>
    <row r="1609" spans="1:30" s="171" customFormat="1" ht="51">
      <c r="A1609" s="126"/>
      <c r="B1609" s="106" t="s">
        <v>3692</v>
      </c>
      <c r="C1609" s="172"/>
      <c r="D1609" s="106" t="s">
        <v>2424</v>
      </c>
      <c r="E1609" s="126"/>
      <c r="F1609" s="83" t="s">
        <v>254</v>
      </c>
      <c r="G1609" s="126"/>
      <c r="H1609" s="26" t="s">
        <v>116</v>
      </c>
      <c r="I1609" s="126"/>
      <c r="J1609" s="83" t="s">
        <v>3411</v>
      </c>
      <c r="K1609" s="126"/>
      <c r="L1609" s="83" t="s">
        <v>737</v>
      </c>
      <c r="M1609" s="126"/>
      <c r="N1609" s="106" t="s">
        <v>96</v>
      </c>
      <c r="O1609" s="172"/>
      <c r="P1609" s="106" t="s">
        <v>3250</v>
      </c>
      <c r="Q1609" s="126"/>
      <c r="R1609" s="83" t="s">
        <v>77</v>
      </c>
      <c r="S1609" s="126"/>
      <c r="T1609" s="124" t="s">
        <v>3251</v>
      </c>
      <c r="U1609" s="166"/>
      <c r="V1609" s="83" t="s">
        <v>79</v>
      </c>
      <c r="W1609" s="166"/>
      <c r="X1609" s="83" t="s">
        <v>80</v>
      </c>
      <c r="Y1609" s="168"/>
      <c r="Z1609" s="119" t="s">
        <v>79</v>
      </c>
      <c r="AA1609" s="168"/>
      <c r="AB1609" s="83" t="s">
        <v>80</v>
      </c>
      <c r="AC1609" s="166"/>
      <c r="AD1609" s="106" t="s">
        <v>3252</v>
      </c>
    </row>
    <row r="1610" spans="1:30" s="171" customFormat="1" ht="51">
      <c r="A1610" s="126"/>
      <c r="B1610" s="106" t="s">
        <v>3693</v>
      </c>
      <c r="C1610" s="172"/>
      <c r="D1610" s="106" t="s">
        <v>362</v>
      </c>
      <c r="E1610" s="126"/>
      <c r="F1610" s="23" t="s">
        <v>363</v>
      </c>
      <c r="G1610" s="126"/>
      <c r="H1610" s="26" t="s">
        <v>116</v>
      </c>
      <c r="I1610" s="126"/>
      <c r="J1610" s="83" t="s">
        <v>3411</v>
      </c>
      <c r="K1610" s="126"/>
      <c r="L1610" s="83" t="s">
        <v>737</v>
      </c>
      <c r="M1610" s="126"/>
      <c r="N1610" s="106" t="s">
        <v>96</v>
      </c>
      <c r="O1610" s="172"/>
      <c r="P1610" s="106" t="s">
        <v>3250</v>
      </c>
      <c r="Q1610" s="126"/>
      <c r="R1610" s="83" t="s">
        <v>77</v>
      </c>
      <c r="S1610" s="126"/>
      <c r="T1610" s="124" t="s">
        <v>3251</v>
      </c>
      <c r="U1610" s="166"/>
      <c r="V1610" s="83" t="s">
        <v>79</v>
      </c>
      <c r="W1610" s="166"/>
      <c r="X1610" s="83" t="s">
        <v>80</v>
      </c>
      <c r="Y1610" s="168"/>
      <c r="Z1610" s="119" t="s">
        <v>79</v>
      </c>
      <c r="AA1610" s="168"/>
      <c r="AB1610" s="83" t="s">
        <v>80</v>
      </c>
      <c r="AC1610" s="166"/>
      <c r="AD1610" s="106" t="s">
        <v>3252</v>
      </c>
    </row>
    <row r="1611" spans="1:30" s="171" customFormat="1" ht="51">
      <c r="A1611" s="126"/>
      <c r="B1611" s="106" t="s">
        <v>3694</v>
      </c>
      <c r="C1611" s="172"/>
      <c r="D1611" s="106" t="s">
        <v>3695</v>
      </c>
      <c r="E1611" s="126"/>
      <c r="F1611" s="83" t="s">
        <v>254</v>
      </c>
      <c r="G1611" s="126"/>
      <c r="H1611" s="26" t="s">
        <v>116</v>
      </c>
      <c r="I1611" s="126"/>
      <c r="J1611" s="83" t="s">
        <v>3411</v>
      </c>
      <c r="K1611" s="126"/>
      <c r="L1611" s="83" t="s">
        <v>737</v>
      </c>
      <c r="M1611" s="126"/>
      <c r="N1611" s="106" t="s">
        <v>96</v>
      </c>
      <c r="O1611" s="172"/>
      <c r="P1611" s="106" t="s">
        <v>3250</v>
      </c>
      <c r="Q1611" s="126"/>
      <c r="R1611" s="83" t="s">
        <v>77</v>
      </c>
      <c r="S1611" s="126"/>
      <c r="T1611" s="124" t="s">
        <v>3251</v>
      </c>
      <c r="U1611" s="166"/>
      <c r="V1611" s="83" t="s">
        <v>79</v>
      </c>
      <c r="W1611" s="166"/>
      <c r="X1611" s="83" t="s">
        <v>80</v>
      </c>
      <c r="Y1611" s="168"/>
      <c r="Z1611" s="119" t="s">
        <v>79</v>
      </c>
      <c r="AA1611" s="168"/>
      <c r="AB1611" s="83" t="s">
        <v>80</v>
      </c>
      <c r="AC1611" s="166"/>
      <c r="AD1611" s="106" t="s">
        <v>3252</v>
      </c>
    </row>
    <row r="1612" spans="1:30" s="171" customFormat="1" ht="51">
      <c r="A1612" s="126"/>
      <c r="B1612" s="106" t="s">
        <v>3696</v>
      </c>
      <c r="C1612" s="172"/>
      <c r="D1612" s="106" t="s">
        <v>2480</v>
      </c>
      <c r="E1612" s="126"/>
      <c r="F1612" s="23" t="s">
        <v>363</v>
      </c>
      <c r="G1612" s="126"/>
      <c r="H1612" s="26" t="s">
        <v>116</v>
      </c>
      <c r="I1612" s="126"/>
      <c r="J1612" s="83" t="s">
        <v>3411</v>
      </c>
      <c r="K1612" s="126"/>
      <c r="L1612" s="83" t="s">
        <v>737</v>
      </c>
      <c r="M1612" s="126"/>
      <c r="N1612" s="106" t="s">
        <v>96</v>
      </c>
      <c r="O1612" s="172"/>
      <c r="P1612" s="106" t="s">
        <v>3250</v>
      </c>
      <c r="Q1612" s="126"/>
      <c r="R1612" s="83" t="s">
        <v>77</v>
      </c>
      <c r="S1612" s="126"/>
      <c r="T1612" s="124" t="s">
        <v>3251</v>
      </c>
      <c r="U1612" s="166"/>
      <c r="V1612" s="83" t="s">
        <v>79</v>
      </c>
      <c r="W1612" s="166"/>
      <c r="X1612" s="83" t="s">
        <v>80</v>
      </c>
      <c r="Y1612" s="168"/>
      <c r="Z1612" s="119" t="s">
        <v>79</v>
      </c>
      <c r="AA1612" s="168"/>
      <c r="AB1612" s="83" t="s">
        <v>80</v>
      </c>
      <c r="AC1612" s="166"/>
      <c r="AD1612" s="106" t="s">
        <v>3252</v>
      </c>
    </row>
    <row r="1613" spans="1:30" s="171" customFormat="1" ht="51">
      <c r="A1613" s="126"/>
      <c r="B1613" s="106" t="s">
        <v>3697</v>
      </c>
      <c r="C1613" s="172"/>
      <c r="D1613" s="106" t="s">
        <v>3698</v>
      </c>
      <c r="E1613" s="126"/>
      <c r="F1613" s="83" t="s">
        <v>254</v>
      </c>
      <c r="G1613" s="126"/>
      <c r="H1613" s="26" t="s">
        <v>116</v>
      </c>
      <c r="I1613" s="126"/>
      <c r="J1613" s="83" t="s">
        <v>3411</v>
      </c>
      <c r="K1613" s="126"/>
      <c r="L1613" s="83" t="s">
        <v>737</v>
      </c>
      <c r="M1613" s="126"/>
      <c r="N1613" s="106" t="s">
        <v>96</v>
      </c>
      <c r="O1613" s="172"/>
      <c r="P1613" s="106" t="s">
        <v>3250</v>
      </c>
      <c r="Q1613" s="126"/>
      <c r="R1613" s="83" t="s">
        <v>77</v>
      </c>
      <c r="S1613" s="126"/>
      <c r="T1613" s="124" t="s">
        <v>3251</v>
      </c>
      <c r="U1613" s="166"/>
      <c r="V1613" s="83" t="s">
        <v>79</v>
      </c>
      <c r="W1613" s="166"/>
      <c r="X1613" s="83" t="s">
        <v>80</v>
      </c>
      <c r="Y1613" s="168"/>
      <c r="Z1613" s="119" t="s">
        <v>79</v>
      </c>
      <c r="AA1613" s="168"/>
      <c r="AB1613" s="83" t="s">
        <v>80</v>
      </c>
      <c r="AC1613" s="166"/>
      <c r="AD1613" s="106" t="s">
        <v>3252</v>
      </c>
    </row>
    <row r="1614" spans="1:30" s="171" customFormat="1" ht="51">
      <c r="A1614" s="126"/>
      <c r="B1614" s="106" t="s">
        <v>3699</v>
      </c>
      <c r="C1614" s="172"/>
      <c r="D1614" s="106" t="s">
        <v>3626</v>
      </c>
      <c r="E1614" s="126"/>
      <c r="F1614" s="83" t="s">
        <v>254</v>
      </c>
      <c r="G1614" s="126"/>
      <c r="H1614" s="26" t="s">
        <v>116</v>
      </c>
      <c r="I1614" s="126"/>
      <c r="J1614" s="83" t="s">
        <v>3411</v>
      </c>
      <c r="K1614" s="126"/>
      <c r="L1614" s="83" t="s">
        <v>737</v>
      </c>
      <c r="M1614" s="126"/>
      <c r="N1614" s="106" t="s">
        <v>96</v>
      </c>
      <c r="O1614" s="172"/>
      <c r="P1614" s="106" t="s">
        <v>3250</v>
      </c>
      <c r="Q1614" s="126"/>
      <c r="R1614" s="83" t="s">
        <v>77</v>
      </c>
      <c r="S1614" s="126"/>
      <c r="T1614" s="124" t="s">
        <v>3251</v>
      </c>
      <c r="U1614" s="166"/>
      <c r="V1614" s="83" t="s">
        <v>79</v>
      </c>
      <c r="W1614" s="166"/>
      <c r="X1614" s="83" t="s">
        <v>80</v>
      </c>
      <c r="Y1614" s="168"/>
      <c r="Z1614" s="119" t="s">
        <v>79</v>
      </c>
      <c r="AA1614" s="168"/>
      <c r="AB1614" s="83" t="s">
        <v>80</v>
      </c>
      <c r="AC1614" s="166"/>
      <c r="AD1614" s="106" t="s">
        <v>3252</v>
      </c>
    </row>
    <row r="1615" spans="1:30" s="171" customFormat="1" ht="51">
      <c r="A1615" s="126"/>
      <c r="B1615" s="106" t="s">
        <v>3700</v>
      </c>
      <c r="C1615" s="172"/>
      <c r="D1615" s="106" t="s">
        <v>702</v>
      </c>
      <c r="E1615" s="126"/>
      <c r="F1615" s="83" t="s">
        <v>370</v>
      </c>
      <c r="G1615" s="126"/>
      <c r="H1615" s="26" t="s">
        <v>116</v>
      </c>
      <c r="I1615" s="126"/>
      <c r="J1615" s="83" t="s">
        <v>3411</v>
      </c>
      <c r="K1615" s="126"/>
      <c r="L1615" s="83" t="s">
        <v>737</v>
      </c>
      <c r="M1615" s="126"/>
      <c r="N1615" s="106" t="s">
        <v>96</v>
      </c>
      <c r="O1615" s="172"/>
      <c r="P1615" s="106" t="s">
        <v>3250</v>
      </c>
      <c r="Q1615" s="126"/>
      <c r="R1615" s="83" t="s">
        <v>77</v>
      </c>
      <c r="S1615" s="126"/>
      <c r="T1615" s="124" t="s">
        <v>3251</v>
      </c>
      <c r="U1615" s="166"/>
      <c r="V1615" s="83" t="s">
        <v>79</v>
      </c>
      <c r="W1615" s="166"/>
      <c r="X1615" s="83" t="s">
        <v>80</v>
      </c>
      <c r="Y1615" s="168"/>
      <c r="Z1615" s="119" t="s">
        <v>79</v>
      </c>
      <c r="AA1615" s="168"/>
      <c r="AB1615" s="83" t="s">
        <v>80</v>
      </c>
      <c r="AC1615" s="166"/>
      <c r="AD1615" s="106" t="s">
        <v>3252</v>
      </c>
    </row>
    <row r="1616" spans="1:30" s="171" customFormat="1" ht="51">
      <c r="A1616" s="126"/>
      <c r="B1616" s="106" t="s">
        <v>3701</v>
      </c>
      <c r="C1616" s="172"/>
      <c r="D1616" s="106" t="s">
        <v>362</v>
      </c>
      <c r="E1616" s="126"/>
      <c r="F1616" s="23" t="s">
        <v>363</v>
      </c>
      <c r="G1616" s="126"/>
      <c r="H1616" s="26" t="s">
        <v>116</v>
      </c>
      <c r="I1616" s="126"/>
      <c r="J1616" s="83" t="s">
        <v>3411</v>
      </c>
      <c r="K1616" s="126"/>
      <c r="L1616" s="83" t="s">
        <v>737</v>
      </c>
      <c r="M1616" s="126"/>
      <c r="N1616" s="106" t="s">
        <v>96</v>
      </c>
      <c r="O1616" s="172"/>
      <c r="P1616" s="106" t="s">
        <v>3250</v>
      </c>
      <c r="Q1616" s="126"/>
      <c r="R1616" s="83" t="s">
        <v>77</v>
      </c>
      <c r="S1616" s="126"/>
      <c r="T1616" s="124" t="s">
        <v>3251</v>
      </c>
      <c r="U1616" s="166"/>
      <c r="V1616" s="83" t="s">
        <v>79</v>
      </c>
      <c r="W1616" s="166"/>
      <c r="X1616" s="83" t="s">
        <v>80</v>
      </c>
      <c r="Y1616" s="168"/>
      <c r="Z1616" s="119" t="s">
        <v>79</v>
      </c>
      <c r="AA1616" s="168"/>
      <c r="AB1616" s="83" t="s">
        <v>80</v>
      </c>
      <c r="AC1616" s="166"/>
      <c r="AD1616" s="106" t="s">
        <v>3252</v>
      </c>
    </row>
    <row r="1617" spans="1:30" s="171" customFormat="1" ht="51">
      <c r="A1617" s="126"/>
      <c r="B1617" s="106" t="s">
        <v>3702</v>
      </c>
      <c r="C1617" s="172"/>
      <c r="D1617" s="106" t="s">
        <v>3297</v>
      </c>
      <c r="E1617" s="126"/>
      <c r="F1617" s="83" t="s">
        <v>254</v>
      </c>
      <c r="G1617" s="126"/>
      <c r="H1617" s="26" t="s">
        <v>116</v>
      </c>
      <c r="I1617" s="126"/>
      <c r="J1617" s="83" t="s">
        <v>3411</v>
      </c>
      <c r="K1617" s="126"/>
      <c r="L1617" s="83" t="s">
        <v>737</v>
      </c>
      <c r="M1617" s="126"/>
      <c r="N1617" s="106" t="s">
        <v>96</v>
      </c>
      <c r="O1617" s="172"/>
      <c r="P1617" s="106" t="s">
        <v>3250</v>
      </c>
      <c r="Q1617" s="126"/>
      <c r="R1617" s="83" t="s">
        <v>77</v>
      </c>
      <c r="S1617" s="126"/>
      <c r="T1617" s="124" t="s">
        <v>3251</v>
      </c>
      <c r="U1617" s="166"/>
      <c r="V1617" s="83" t="s">
        <v>79</v>
      </c>
      <c r="W1617" s="166"/>
      <c r="X1617" s="83" t="s">
        <v>80</v>
      </c>
      <c r="Y1617" s="168"/>
      <c r="Z1617" s="119" t="s">
        <v>79</v>
      </c>
      <c r="AA1617" s="168"/>
      <c r="AB1617" s="83" t="s">
        <v>80</v>
      </c>
      <c r="AC1617" s="166"/>
      <c r="AD1617" s="106" t="s">
        <v>3252</v>
      </c>
    </row>
    <row r="1618" spans="1:30" s="171" customFormat="1" ht="51">
      <c r="A1618" s="126"/>
      <c r="B1618" s="106" t="s">
        <v>3703</v>
      </c>
      <c r="C1618" s="172"/>
      <c r="D1618" s="106" t="s">
        <v>71</v>
      </c>
      <c r="E1618" s="126"/>
      <c r="F1618" s="83" t="s">
        <v>71</v>
      </c>
      <c r="G1618" s="126"/>
      <c r="H1618" s="26" t="s">
        <v>116</v>
      </c>
      <c r="I1618" s="126"/>
      <c r="J1618" s="83" t="s">
        <v>3411</v>
      </c>
      <c r="K1618" s="126"/>
      <c r="L1618" s="83" t="s">
        <v>737</v>
      </c>
      <c r="M1618" s="126"/>
      <c r="N1618" s="106" t="s">
        <v>96</v>
      </c>
      <c r="O1618" s="172"/>
      <c r="P1618" s="106" t="s">
        <v>3250</v>
      </c>
      <c r="Q1618" s="126"/>
      <c r="R1618" s="83" t="s">
        <v>77</v>
      </c>
      <c r="S1618" s="126"/>
      <c r="T1618" s="124" t="s">
        <v>3251</v>
      </c>
      <c r="U1618" s="166"/>
      <c r="V1618" s="83" t="s">
        <v>79</v>
      </c>
      <c r="W1618" s="166"/>
      <c r="X1618" s="83" t="s">
        <v>80</v>
      </c>
      <c r="Y1618" s="168"/>
      <c r="Z1618" s="119" t="s">
        <v>79</v>
      </c>
      <c r="AA1618" s="168"/>
      <c r="AB1618" s="83" t="s">
        <v>80</v>
      </c>
      <c r="AC1618" s="166"/>
      <c r="AD1618" s="106" t="s">
        <v>3252</v>
      </c>
    </row>
    <row r="1619" spans="1:30" s="171" customFormat="1" ht="51">
      <c r="A1619" s="126"/>
      <c r="B1619" s="106" t="s">
        <v>3704</v>
      </c>
      <c r="C1619" s="172"/>
      <c r="D1619" s="106" t="s">
        <v>3315</v>
      </c>
      <c r="E1619" s="126"/>
      <c r="F1619" s="83" t="s">
        <v>254</v>
      </c>
      <c r="G1619" s="126"/>
      <c r="H1619" s="26" t="s">
        <v>116</v>
      </c>
      <c r="I1619" s="126"/>
      <c r="J1619" s="83" t="s">
        <v>3411</v>
      </c>
      <c r="K1619" s="126"/>
      <c r="L1619" s="83" t="s">
        <v>737</v>
      </c>
      <c r="M1619" s="126"/>
      <c r="N1619" s="106" t="s">
        <v>96</v>
      </c>
      <c r="O1619" s="172"/>
      <c r="P1619" s="106" t="s">
        <v>3250</v>
      </c>
      <c r="Q1619" s="126"/>
      <c r="R1619" s="83" t="s">
        <v>77</v>
      </c>
      <c r="S1619" s="126"/>
      <c r="T1619" s="124" t="s">
        <v>3251</v>
      </c>
      <c r="U1619" s="166"/>
      <c r="V1619" s="83" t="s">
        <v>79</v>
      </c>
      <c r="W1619" s="166"/>
      <c r="X1619" s="83" t="s">
        <v>80</v>
      </c>
      <c r="Y1619" s="168"/>
      <c r="Z1619" s="119" t="s">
        <v>79</v>
      </c>
      <c r="AA1619" s="168"/>
      <c r="AB1619" s="83" t="s">
        <v>80</v>
      </c>
      <c r="AC1619" s="166"/>
      <c r="AD1619" s="106" t="s">
        <v>3252</v>
      </c>
    </row>
    <row r="1620" spans="1:30" s="171" customFormat="1" ht="51">
      <c r="A1620" s="126"/>
      <c r="B1620" s="106" t="s">
        <v>3705</v>
      </c>
      <c r="C1620" s="172"/>
      <c r="D1620" s="106" t="s">
        <v>3294</v>
      </c>
      <c r="E1620" s="126"/>
      <c r="F1620" s="83" t="s">
        <v>254</v>
      </c>
      <c r="G1620" s="126"/>
      <c r="H1620" s="26" t="s">
        <v>116</v>
      </c>
      <c r="I1620" s="126"/>
      <c r="J1620" s="83" t="s">
        <v>3411</v>
      </c>
      <c r="K1620" s="126"/>
      <c r="L1620" s="83" t="s">
        <v>737</v>
      </c>
      <c r="M1620" s="126"/>
      <c r="N1620" s="106" t="s">
        <v>96</v>
      </c>
      <c r="O1620" s="172"/>
      <c r="P1620" s="106" t="s">
        <v>3250</v>
      </c>
      <c r="Q1620" s="126"/>
      <c r="R1620" s="83" t="s">
        <v>77</v>
      </c>
      <c r="S1620" s="126"/>
      <c r="T1620" s="124" t="s">
        <v>3251</v>
      </c>
      <c r="U1620" s="166"/>
      <c r="V1620" s="83" t="s">
        <v>79</v>
      </c>
      <c r="W1620" s="166"/>
      <c r="X1620" s="83" t="s">
        <v>80</v>
      </c>
      <c r="Y1620" s="168"/>
      <c r="Z1620" s="119" t="s">
        <v>79</v>
      </c>
      <c r="AA1620" s="168"/>
      <c r="AB1620" s="83" t="s">
        <v>80</v>
      </c>
      <c r="AC1620" s="166"/>
      <c r="AD1620" s="106" t="s">
        <v>3252</v>
      </c>
    </row>
    <row r="1621" spans="1:30" s="171" customFormat="1" ht="51">
      <c r="A1621" s="126"/>
      <c r="B1621" s="106" t="s">
        <v>3706</v>
      </c>
      <c r="C1621" s="172"/>
      <c r="D1621" s="106" t="s">
        <v>1515</v>
      </c>
      <c r="E1621" s="126"/>
      <c r="F1621" s="83" t="s">
        <v>254</v>
      </c>
      <c r="G1621" s="126"/>
      <c r="H1621" s="26" t="s">
        <v>116</v>
      </c>
      <c r="I1621" s="126"/>
      <c r="J1621" s="83" t="s">
        <v>3411</v>
      </c>
      <c r="K1621" s="126"/>
      <c r="L1621" s="83" t="s">
        <v>737</v>
      </c>
      <c r="M1621" s="126"/>
      <c r="N1621" s="106" t="s">
        <v>96</v>
      </c>
      <c r="O1621" s="172"/>
      <c r="P1621" s="106" t="s">
        <v>3250</v>
      </c>
      <c r="Q1621" s="126"/>
      <c r="R1621" s="83" t="s">
        <v>77</v>
      </c>
      <c r="S1621" s="126"/>
      <c r="T1621" s="124" t="s">
        <v>3251</v>
      </c>
      <c r="U1621" s="166"/>
      <c r="V1621" s="83" t="s">
        <v>79</v>
      </c>
      <c r="W1621" s="166"/>
      <c r="X1621" s="83" t="s">
        <v>80</v>
      </c>
      <c r="Y1621" s="168"/>
      <c r="Z1621" s="119" t="s">
        <v>79</v>
      </c>
      <c r="AA1621" s="168"/>
      <c r="AB1621" s="83" t="s">
        <v>80</v>
      </c>
      <c r="AC1621" s="166"/>
      <c r="AD1621" s="106" t="s">
        <v>3252</v>
      </c>
    </row>
    <row r="1622" spans="1:30" s="171" customFormat="1" ht="51">
      <c r="A1622" s="126"/>
      <c r="B1622" s="106" t="s">
        <v>3707</v>
      </c>
      <c r="C1622" s="172"/>
      <c r="D1622" s="106" t="s">
        <v>3275</v>
      </c>
      <c r="E1622" s="126"/>
      <c r="F1622" s="83" t="s">
        <v>254</v>
      </c>
      <c r="G1622" s="126"/>
      <c r="H1622" s="26" t="s">
        <v>116</v>
      </c>
      <c r="I1622" s="126"/>
      <c r="J1622" s="83" t="s">
        <v>3411</v>
      </c>
      <c r="K1622" s="126"/>
      <c r="L1622" s="83" t="s">
        <v>737</v>
      </c>
      <c r="M1622" s="126"/>
      <c r="N1622" s="106" t="s">
        <v>96</v>
      </c>
      <c r="O1622" s="172"/>
      <c r="P1622" s="106" t="s">
        <v>3250</v>
      </c>
      <c r="Q1622" s="126"/>
      <c r="R1622" s="83" t="s">
        <v>77</v>
      </c>
      <c r="S1622" s="126"/>
      <c r="T1622" s="124" t="s">
        <v>3251</v>
      </c>
      <c r="U1622" s="166"/>
      <c r="V1622" s="83" t="s">
        <v>79</v>
      </c>
      <c r="W1622" s="166"/>
      <c r="X1622" s="83" t="s">
        <v>80</v>
      </c>
      <c r="Y1622" s="168"/>
      <c r="Z1622" s="119" t="s">
        <v>79</v>
      </c>
      <c r="AA1622" s="168"/>
      <c r="AB1622" s="83" t="s">
        <v>80</v>
      </c>
      <c r="AC1622" s="166"/>
      <c r="AD1622" s="106" t="s">
        <v>3252</v>
      </c>
    </row>
    <row r="1623" spans="1:30" s="171" customFormat="1" ht="51">
      <c r="A1623" s="126"/>
      <c r="B1623" s="106" t="s">
        <v>3708</v>
      </c>
      <c r="C1623" s="172"/>
      <c r="D1623" s="106" t="s">
        <v>370</v>
      </c>
      <c r="E1623" s="126"/>
      <c r="F1623" s="83" t="s">
        <v>370</v>
      </c>
      <c r="G1623" s="126"/>
      <c r="H1623" s="26" t="s">
        <v>116</v>
      </c>
      <c r="I1623" s="126"/>
      <c r="J1623" s="83" t="s">
        <v>3411</v>
      </c>
      <c r="K1623" s="126"/>
      <c r="L1623" s="83" t="s">
        <v>737</v>
      </c>
      <c r="M1623" s="126"/>
      <c r="N1623" s="106" t="s">
        <v>96</v>
      </c>
      <c r="O1623" s="172"/>
      <c r="P1623" s="106" t="s">
        <v>3250</v>
      </c>
      <c r="Q1623" s="126"/>
      <c r="R1623" s="83" t="s">
        <v>77</v>
      </c>
      <c r="S1623" s="126"/>
      <c r="T1623" s="124" t="s">
        <v>3251</v>
      </c>
      <c r="U1623" s="166"/>
      <c r="V1623" s="83" t="s">
        <v>79</v>
      </c>
      <c r="W1623" s="166"/>
      <c r="X1623" s="83" t="s">
        <v>80</v>
      </c>
      <c r="Y1623" s="168"/>
      <c r="Z1623" s="119" t="s">
        <v>79</v>
      </c>
      <c r="AA1623" s="168"/>
      <c r="AB1623" s="83" t="s">
        <v>80</v>
      </c>
      <c r="AC1623" s="166"/>
      <c r="AD1623" s="106" t="s">
        <v>3252</v>
      </c>
    </row>
    <row r="1624" spans="1:30" s="171" customFormat="1" ht="51">
      <c r="A1624" s="126"/>
      <c r="B1624" s="106" t="s">
        <v>3709</v>
      </c>
      <c r="C1624" s="172"/>
      <c r="D1624" s="106" t="s">
        <v>3309</v>
      </c>
      <c r="E1624" s="126"/>
      <c r="F1624" s="83" t="s">
        <v>254</v>
      </c>
      <c r="G1624" s="126"/>
      <c r="H1624" s="26" t="s">
        <v>116</v>
      </c>
      <c r="I1624" s="126"/>
      <c r="J1624" s="83" t="s">
        <v>3411</v>
      </c>
      <c r="K1624" s="126"/>
      <c r="L1624" s="83" t="s">
        <v>737</v>
      </c>
      <c r="M1624" s="126"/>
      <c r="N1624" s="106" t="s">
        <v>96</v>
      </c>
      <c r="O1624" s="172"/>
      <c r="P1624" s="106" t="s">
        <v>3250</v>
      </c>
      <c r="Q1624" s="126"/>
      <c r="R1624" s="83" t="s">
        <v>77</v>
      </c>
      <c r="S1624" s="126"/>
      <c r="T1624" s="124" t="s">
        <v>3251</v>
      </c>
      <c r="U1624" s="166"/>
      <c r="V1624" s="83" t="s">
        <v>79</v>
      </c>
      <c r="W1624" s="166"/>
      <c r="X1624" s="83" t="s">
        <v>80</v>
      </c>
      <c r="Y1624" s="168"/>
      <c r="Z1624" s="119" t="s">
        <v>79</v>
      </c>
      <c r="AA1624" s="168"/>
      <c r="AB1624" s="83" t="s">
        <v>80</v>
      </c>
      <c r="AC1624" s="166"/>
      <c r="AD1624" s="106" t="s">
        <v>3252</v>
      </c>
    </row>
    <row r="1625" spans="1:30" s="171" customFormat="1" ht="51">
      <c r="A1625" s="126"/>
      <c r="B1625" s="106" t="s">
        <v>3710</v>
      </c>
      <c r="C1625" s="172"/>
      <c r="D1625" s="106" t="s">
        <v>2574</v>
      </c>
      <c r="E1625" s="126"/>
      <c r="F1625" s="83" t="s">
        <v>394</v>
      </c>
      <c r="G1625" s="126"/>
      <c r="H1625" s="26" t="s">
        <v>116</v>
      </c>
      <c r="I1625" s="126"/>
      <c r="J1625" s="83" t="s">
        <v>3411</v>
      </c>
      <c r="K1625" s="126"/>
      <c r="L1625" s="83" t="s">
        <v>737</v>
      </c>
      <c r="M1625" s="126"/>
      <c r="N1625" s="106" t="s">
        <v>96</v>
      </c>
      <c r="O1625" s="172"/>
      <c r="P1625" s="106" t="s">
        <v>3250</v>
      </c>
      <c r="Q1625" s="126"/>
      <c r="R1625" s="83" t="s">
        <v>77</v>
      </c>
      <c r="S1625" s="126"/>
      <c r="T1625" s="124" t="s">
        <v>3251</v>
      </c>
      <c r="U1625" s="166"/>
      <c r="V1625" s="83" t="s">
        <v>79</v>
      </c>
      <c r="W1625" s="166"/>
      <c r="X1625" s="83" t="s">
        <v>80</v>
      </c>
      <c r="Y1625" s="168"/>
      <c r="Z1625" s="119" t="s">
        <v>79</v>
      </c>
      <c r="AA1625" s="168"/>
      <c r="AB1625" s="83" t="s">
        <v>80</v>
      </c>
      <c r="AC1625" s="166"/>
      <c r="AD1625" s="106" t="s">
        <v>3252</v>
      </c>
    </row>
    <row r="1626" spans="1:30" s="171" customFormat="1" ht="51">
      <c r="A1626" s="126"/>
      <c r="B1626" s="106" t="s">
        <v>3711</v>
      </c>
      <c r="C1626" s="172"/>
      <c r="D1626" s="106" t="s">
        <v>3275</v>
      </c>
      <c r="E1626" s="126"/>
      <c r="F1626" s="83" t="s">
        <v>254</v>
      </c>
      <c r="G1626" s="126"/>
      <c r="H1626" s="26" t="s">
        <v>116</v>
      </c>
      <c r="I1626" s="126"/>
      <c r="J1626" s="83" t="s">
        <v>3411</v>
      </c>
      <c r="K1626" s="126"/>
      <c r="L1626" s="83" t="s">
        <v>737</v>
      </c>
      <c r="M1626" s="126"/>
      <c r="N1626" s="106" t="s">
        <v>96</v>
      </c>
      <c r="O1626" s="172"/>
      <c r="P1626" s="106" t="s">
        <v>3250</v>
      </c>
      <c r="Q1626" s="126"/>
      <c r="R1626" s="83" t="s">
        <v>77</v>
      </c>
      <c r="S1626" s="126"/>
      <c r="T1626" s="124" t="s">
        <v>3251</v>
      </c>
      <c r="U1626" s="166"/>
      <c r="V1626" s="83" t="s">
        <v>79</v>
      </c>
      <c r="W1626" s="166"/>
      <c r="X1626" s="83" t="s">
        <v>80</v>
      </c>
      <c r="Y1626" s="168"/>
      <c r="Z1626" s="119" t="s">
        <v>79</v>
      </c>
      <c r="AA1626" s="168"/>
      <c r="AB1626" s="83" t="s">
        <v>80</v>
      </c>
      <c r="AC1626" s="166"/>
      <c r="AD1626" s="106" t="s">
        <v>3252</v>
      </c>
    </row>
    <row r="1627" spans="1:30" s="171" customFormat="1" ht="51">
      <c r="A1627" s="126"/>
      <c r="B1627" s="106" t="s">
        <v>3712</v>
      </c>
      <c r="C1627" s="172"/>
      <c r="D1627" s="106" t="s">
        <v>362</v>
      </c>
      <c r="E1627" s="126"/>
      <c r="F1627" s="23" t="s">
        <v>363</v>
      </c>
      <c r="G1627" s="126"/>
      <c r="H1627" s="26" t="s">
        <v>116</v>
      </c>
      <c r="I1627" s="126"/>
      <c r="J1627" s="83" t="s">
        <v>3411</v>
      </c>
      <c r="K1627" s="126"/>
      <c r="L1627" s="83" t="s">
        <v>737</v>
      </c>
      <c r="M1627" s="126"/>
      <c r="N1627" s="106" t="s">
        <v>96</v>
      </c>
      <c r="O1627" s="172"/>
      <c r="P1627" s="106" t="s">
        <v>3250</v>
      </c>
      <c r="Q1627" s="126"/>
      <c r="R1627" s="83" t="s">
        <v>77</v>
      </c>
      <c r="S1627" s="126"/>
      <c r="T1627" s="124" t="s">
        <v>3251</v>
      </c>
      <c r="U1627" s="166"/>
      <c r="V1627" s="83" t="s">
        <v>79</v>
      </c>
      <c r="W1627" s="166"/>
      <c r="X1627" s="83" t="s">
        <v>80</v>
      </c>
      <c r="Y1627" s="168"/>
      <c r="Z1627" s="119" t="s">
        <v>79</v>
      </c>
      <c r="AA1627" s="168"/>
      <c r="AB1627" s="83" t="s">
        <v>80</v>
      </c>
      <c r="AC1627" s="166"/>
      <c r="AD1627" s="106" t="s">
        <v>3252</v>
      </c>
    </row>
    <row r="1628" spans="1:30" s="171" customFormat="1" ht="51">
      <c r="A1628" s="126"/>
      <c r="B1628" s="106" t="s">
        <v>3713</v>
      </c>
      <c r="C1628" s="172"/>
      <c r="D1628" s="106" t="s">
        <v>71</v>
      </c>
      <c r="E1628" s="126"/>
      <c r="F1628" s="83" t="s">
        <v>71</v>
      </c>
      <c r="G1628" s="126"/>
      <c r="H1628" s="26" t="s">
        <v>116</v>
      </c>
      <c r="I1628" s="126"/>
      <c r="J1628" s="83" t="s">
        <v>3411</v>
      </c>
      <c r="K1628" s="126"/>
      <c r="L1628" s="83" t="s">
        <v>737</v>
      </c>
      <c r="M1628" s="126"/>
      <c r="N1628" s="106" t="s">
        <v>96</v>
      </c>
      <c r="O1628" s="172"/>
      <c r="P1628" s="106" t="s">
        <v>3250</v>
      </c>
      <c r="Q1628" s="126"/>
      <c r="R1628" s="83" t="s">
        <v>77</v>
      </c>
      <c r="S1628" s="126"/>
      <c r="T1628" s="124" t="s">
        <v>3251</v>
      </c>
      <c r="U1628" s="166"/>
      <c r="V1628" s="83" t="s">
        <v>79</v>
      </c>
      <c r="W1628" s="166"/>
      <c r="X1628" s="83" t="s">
        <v>80</v>
      </c>
      <c r="Y1628" s="168"/>
      <c r="Z1628" s="119" t="s">
        <v>79</v>
      </c>
      <c r="AA1628" s="168"/>
      <c r="AB1628" s="83" t="s">
        <v>80</v>
      </c>
      <c r="AC1628" s="166"/>
      <c r="AD1628" s="106" t="s">
        <v>3252</v>
      </c>
    </row>
    <row r="1629" spans="1:30" s="171" customFormat="1" ht="51">
      <c r="A1629" s="126"/>
      <c r="B1629" s="106" t="s">
        <v>3714</v>
      </c>
      <c r="C1629" s="172"/>
      <c r="D1629" s="106" t="s">
        <v>1137</v>
      </c>
      <c r="E1629" s="126"/>
      <c r="F1629" s="83" t="s">
        <v>254</v>
      </c>
      <c r="G1629" s="126"/>
      <c r="H1629" s="26" t="s">
        <v>116</v>
      </c>
      <c r="I1629" s="126"/>
      <c r="J1629" s="83" t="s">
        <v>3411</v>
      </c>
      <c r="K1629" s="126"/>
      <c r="L1629" s="83" t="s">
        <v>737</v>
      </c>
      <c r="M1629" s="126"/>
      <c r="N1629" s="106" t="s">
        <v>96</v>
      </c>
      <c r="O1629" s="172"/>
      <c r="P1629" s="106" t="s">
        <v>3250</v>
      </c>
      <c r="Q1629" s="126"/>
      <c r="R1629" s="83" t="s">
        <v>77</v>
      </c>
      <c r="S1629" s="126"/>
      <c r="T1629" s="124" t="s">
        <v>3251</v>
      </c>
      <c r="U1629" s="166"/>
      <c r="V1629" s="83" t="s">
        <v>79</v>
      </c>
      <c r="W1629" s="166"/>
      <c r="X1629" s="83" t="s">
        <v>80</v>
      </c>
      <c r="Y1629" s="168"/>
      <c r="Z1629" s="119" t="s">
        <v>79</v>
      </c>
      <c r="AA1629" s="168"/>
      <c r="AB1629" s="83" t="s">
        <v>80</v>
      </c>
      <c r="AC1629" s="166"/>
      <c r="AD1629" s="106" t="s">
        <v>3252</v>
      </c>
    </row>
    <row r="1630" spans="1:30" s="171" customFormat="1" ht="51">
      <c r="A1630" s="126"/>
      <c r="B1630" s="106" t="s">
        <v>3715</v>
      </c>
      <c r="C1630" s="172"/>
      <c r="D1630" s="106" t="s">
        <v>621</v>
      </c>
      <c r="E1630" s="126"/>
      <c r="F1630" s="83" t="s">
        <v>254</v>
      </c>
      <c r="G1630" s="126"/>
      <c r="H1630" s="26" t="s">
        <v>116</v>
      </c>
      <c r="I1630" s="126"/>
      <c r="J1630" s="83" t="s">
        <v>3411</v>
      </c>
      <c r="K1630" s="126"/>
      <c r="L1630" s="83" t="s">
        <v>737</v>
      </c>
      <c r="M1630" s="126"/>
      <c r="N1630" s="106" t="s">
        <v>96</v>
      </c>
      <c r="O1630" s="172"/>
      <c r="P1630" s="106" t="s">
        <v>3250</v>
      </c>
      <c r="Q1630" s="126"/>
      <c r="R1630" s="83" t="s">
        <v>77</v>
      </c>
      <c r="S1630" s="126"/>
      <c r="T1630" s="124" t="s">
        <v>3251</v>
      </c>
      <c r="U1630" s="166"/>
      <c r="V1630" s="83" t="s">
        <v>79</v>
      </c>
      <c r="W1630" s="166"/>
      <c r="X1630" s="83" t="s">
        <v>80</v>
      </c>
      <c r="Y1630" s="168"/>
      <c r="Z1630" s="119" t="s">
        <v>79</v>
      </c>
      <c r="AA1630" s="168"/>
      <c r="AB1630" s="83" t="s">
        <v>80</v>
      </c>
      <c r="AC1630" s="166"/>
      <c r="AD1630" s="106" t="s">
        <v>3252</v>
      </c>
    </row>
    <row r="1631" spans="1:30" s="171" customFormat="1" ht="51">
      <c r="A1631" s="126"/>
      <c r="B1631" s="106" t="s">
        <v>3716</v>
      </c>
      <c r="C1631" s="172"/>
      <c r="D1631" s="106" t="s">
        <v>1515</v>
      </c>
      <c r="E1631" s="126"/>
      <c r="F1631" s="83" t="s">
        <v>254</v>
      </c>
      <c r="G1631" s="126"/>
      <c r="H1631" s="26" t="s">
        <v>116</v>
      </c>
      <c r="I1631" s="126"/>
      <c r="J1631" s="83" t="s">
        <v>3411</v>
      </c>
      <c r="K1631" s="126"/>
      <c r="L1631" s="83" t="s">
        <v>737</v>
      </c>
      <c r="M1631" s="126"/>
      <c r="N1631" s="106" t="s">
        <v>96</v>
      </c>
      <c r="O1631" s="172"/>
      <c r="P1631" s="106" t="s">
        <v>3250</v>
      </c>
      <c r="Q1631" s="126"/>
      <c r="R1631" s="83" t="s">
        <v>77</v>
      </c>
      <c r="S1631" s="126"/>
      <c r="T1631" s="124" t="s">
        <v>3251</v>
      </c>
      <c r="U1631" s="166"/>
      <c r="V1631" s="83" t="s">
        <v>79</v>
      </c>
      <c r="W1631" s="166"/>
      <c r="X1631" s="83" t="s">
        <v>80</v>
      </c>
      <c r="Y1631" s="168"/>
      <c r="Z1631" s="119" t="s">
        <v>79</v>
      </c>
      <c r="AA1631" s="168"/>
      <c r="AB1631" s="83" t="s">
        <v>80</v>
      </c>
      <c r="AC1631" s="166"/>
      <c r="AD1631" s="106" t="s">
        <v>3252</v>
      </c>
    </row>
    <row r="1632" spans="1:30" s="171" customFormat="1" ht="51">
      <c r="A1632" s="126"/>
      <c r="B1632" s="106" t="s">
        <v>3717</v>
      </c>
      <c r="C1632" s="172"/>
      <c r="D1632" s="106" t="s">
        <v>3287</v>
      </c>
      <c r="E1632" s="126"/>
      <c r="F1632" s="83" t="s">
        <v>254</v>
      </c>
      <c r="G1632" s="126"/>
      <c r="H1632" s="26" t="s">
        <v>116</v>
      </c>
      <c r="I1632" s="126"/>
      <c r="J1632" s="83" t="s">
        <v>3411</v>
      </c>
      <c r="K1632" s="126"/>
      <c r="L1632" s="83" t="s">
        <v>737</v>
      </c>
      <c r="M1632" s="126"/>
      <c r="N1632" s="106" t="s">
        <v>96</v>
      </c>
      <c r="O1632" s="172"/>
      <c r="P1632" s="106" t="s">
        <v>3250</v>
      </c>
      <c r="Q1632" s="126"/>
      <c r="R1632" s="83" t="s">
        <v>77</v>
      </c>
      <c r="S1632" s="126"/>
      <c r="T1632" s="124" t="s">
        <v>3251</v>
      </c>
      <c r="U1632" s="166"/>
      <c r="V1632" s="83" t="s">
        <v>79</v>
      </c>
      <c r="W1632" s="166"/>
      <c r="X1632" s="83" t="s">
        <v>80</v>
      </c>
      <c r="Y1632" s="168"/>
      <c r="Z1632" s="119" t="s">
        <v>79</v>
      </c>
      <c r="AA1632" s="168"/>
      <c r="AB1632" s="83" t="s">
        <v>80</v>
      </c>
      <c r="AC1632" s="166"/>
      <c r="AD1632" s="106" t="s">
        <v>3252</v>
      </c>
    </row>
    <row r="1633" spans="1:30" s="171" customFormat="1" ht="51">
      <c r="A1633" s="126"/>
      <c r="B1633" s="106" t="s">
        <v>3718</v>
      </c>
      <c r="C1633" s="172"/>
      <c r="D1633" s="106" t="s">
        <v>1434</v>
      </c>
      <c r="E1633" s="126"/>
      <c r="F1633" s="83" t="s">
        <v>254</v>
      </c>
      <c r="G1633" s="126"/>
      <c r="H1633" s="26" t="s">
        <v>116</v>
      </c>
      <c r="I1633" s="126"/>
      <c r="J1633" s="83" t="s">
        <v>3411</v>
      </c>
      <c r="K1633" s="126"/>
      <c r="L1633" s="83" t="s">
        <v>737</v>
      </c>
      <c r="M1633" s="126"/>
      <c r="N1633" s="106" t="s">
        <v>96</v>
      </c>
      <c r="O1633" s="172"/>
      <c r="P1633" s="106" t="s">
        <v>3250</v>
      </c>
      <c r="Q1633" s="126"/>
      <c r="R1633" s="83" t="s">
        <v>77</v>
      </c>
      <c r="S1633" s="126"/>
      <c r="T1633" s="124" t="s">
        <v>3251</v>
      </c>
      <c r="U1633" s="166"/>
      <c r="V1633" s="83" t="s">
        <v>79</v>
      </c>
      <c r="W1633" s="166"/>
      <c r="X1633" s="83" t="s">
        <v>80</v>
      </c>
      <c r="Y1633" s="168"/>
      <c r="Z1633" s="119" t="s">
        <v>79</v>
      </c>
      <c r="AA1633" s="168"/>
      <c r="AB1633" s="83" t="s">
        <v>80</v>
      </c>
      <c r="AC1633" s="166"/>
      <c r="AD1633" s="106" t="s">
        <v>3252</v>
      </c>
    </row>
    <row r="1634" spans="1:30" s="171" customFormat="1" ht="51">
      <c r="A1634" s="126"/>
      <c r="B1634" s="106" t="s">
        <v>3719</v>
      </c>
      <c r="C1634" s="172"/>
      <c r="D1634" s="106" t="s">
        <v>3362</v>
      </c>
      <c r="E1634" s="126"/>
      <c r="F1634" s="83" t="s">
        <v>254</v>
      </c>
      <c r="G1634" s="126"/>
      <c r="H1634" s="26" t="s">
        <v>116</v>
      </c>
      <c r="I1634" s="126"/>
      <c r="J1634" s="83" t="s">
        <v>3411</v>
      </c>
      <c r="K1634" s="126"/>
      <c r="L1634" s="83" t="s">
        <v>737</v>
      </c>
      <c r="M1634" s="126"/>
      <c r="N1634" s="106" t="s">
        <v>96</v>
      </c>
      <c r="O1634" s="172"/>
      <c r="P1634" s="106" t="s">
        <v>3250</v>
      </c>
      <c r="Q1634" s="126"/>
      <c r="R1634" s="83" t="s">
        <v>77</v>
      </c>
      <c r="S1634" s="126"/>
      <c r="T1634" s="124" t="s">
        <v>3251</v>
      </c>
      <c r="U1634" s="166"/>
      <c r="V1634" s="83" t="s">
        <v>79</v>
      </c>
      <c r="W1634" s="166"/>
      <c r="X1634" s="83" t="s">
        <v>80</v>
      </c>
      <c r="Y1634" s="168"/>
      <c r="Z1634" s="119" t="s">
        <v>79</v>
      </c>
      <c r="AA1634" s="168"/>
      <c r="AB1634" s="83" t="s">
        <v>80</v>
      </c>
      <c r="AC1634" s="166"/>
      <c r="AD1634" s="106" t="s">
        <v>3252</v>
      </c>
    </row>
    <row r="1635" spans="1:30" s="171" customFormat="1" ht="51">
      <c r="A1635" s="126"/>
      <c r="B1635" s="106" t="s">
        <v>3720</v>
      </c>
      <c r="C1635" s="172"/>
      <c r="D1635" s="106" t="s">
        <v>362</v>
      </c>
      <c r="E1635" s="126"/>
      <c r="F1635" s="23" t="s">
        <v>363</v>
      </c>
      <c r="G1635" s="126"/>
      <c r="H1635" s="26" t="s">
        <v>116</v>
      </c>
      <c r="I1635" s="126"/>
      <c r="J1635" s="83" t="s">
        <v>3411</v>
      </c>
      <c r="K1635" s="126"/>
      <c r="L1635" s="83" t="s">
        <v>737</v>
      </c>
      <c r="M1635" s="126"/>
      <c r="N1635" s="106" t="s">
        <v>96</v>
      </c>
      <c r="O1635" s="172"/>
      <c r="P1635" s="106" t="s">
        <v>3250</v>
      </c>
      <c r="Q1635" s="126"/>
      <c r="R1635" s="83" t="s">
        <v>77</v>
      </c>
      <c r="S1635" s="126"/>
      <c r="T1635" s="124" t="s">
        <v>3251</v>
      </c>
      <c r="U1635" s="166"/>
      <c r="V1635" s="83" t="s">
        <v>79</v>
      </c>
      <c r="W1635" s="166"/>
      <c r="X1635" s="83" t="s">
        <v>80</v>
      </c>
      <c r="Y1635" s="168"/>
      <c r="Z1635" s="119" t="s">
        <v>79</v>
      </c>
      <c r="AA1635" s="168"/>
      <c r="AB1635" s="83" t="s">
        <v>80</v>
      </c>
      <c r="AC1635" s="166"/>
      <c r="AD1635" s="106" t="s">
        <v>3252</v>
      </c>
    </row>
    <row r="1636" spans="1:30" s="171" customFormat="1" ht="51">
      <c r="A1636" s="126"/>
      <c r="B1636" s="106" t="s">
        <v>3721</v>
      </c>
      <c r="C1636" s="172"/>
      <c r="D1636" s="106" t="s">
        <v>370</v>
      </c>
      <c r="E1636" s="126"/>
      <c r="F1636" s="83" t="s">
        <v>370</v>
      </c>
      <c r="G1636" s="126"/>
      <c r="H1636" s="26" t="s">
        <v>116</v>
      </c>
      <c r="I1636" s="126"/>
      <c r="J1636" s="83" t="s">
        <v>3411</v>
      </c>
      <c r="K1636" s="126"/>
      <c r="L1636" s="83" t="s">
        <v>737</v>
      </c>
      <c r="M1636" s="126"/>
      <c r="N1636" s="106" t="s">
        <v>96</v>
      </c>
      <c r="O1636" s="172"/>
      <c r="P1636" s="106" t="s">
        <v>3250</v>
      </c>
      <c r="Q1636" s="126"/>
      <c r="R1636" s="83" t="s">
        <v>77</v>
      </c>
      <c r="S1636" s="126"/>
      <c r="T1636" s="124" t="s">
        <v>3251</v>
      </c>
      <c r="U1636" s="166"/>
      <c r="V1636" s="83" t="s">
        <v>79</v>
      </c>
      <c r="W1636" s="166"/>
      <c r="X1636" s="83" t="s">
        <v>80</v>
      </c>
      <c r="Y1636" s="168"/>
      <c r="Z1636" s="119" t="s">
        <v>79</v>
      </c>
      <c r="AA1636" s="168"/>
      <c r="AB1636" s="83" t="s">
        <v>80</v>
      </c>
      <c r="AC1636" s="166"/>
      <c r="AD1636" s="106" t="s">
        <v>3252</v>
      </c>
    </row>
    <row r="1637" spans="1:30" s="171" customFormat="1" ht="51">
      <c r="A1637" s="126"/>
      <c r="B1637" s="106" t="s">
        <v>3722</v>
      </c>
      <c r="C1637" s="172"/>
      <c r="D1637" s="106" t="s">
        <v>370</v>
      </c>
      <c r="E1637" s="126"/>
      <c r="F1637" s="83" t="s">
        <v>370</v>
      </c>
      <c r="G1637" s="126"/>
      <c r="H1637" s="26" t="s">
        <v>116</v>
      </c>
      <c r="I1637" s="126"/>
      <c r="J1637" s="83" t="s">
        <v>3411</v>
      </c>
      <c r="K1637" s="126"/>
      <c r="L1637" s="83" t="s">
        <v>737</v>
      </c>
      <c r="M1637" s="126"/>
      <c r="N1637" s="106" t="s">
        <v>96</v>
      </c>
      <c r="O1637" s="172"/>
      <c r="P1637" s="106" t="s">
        <v>3250</v>
      </c>
      <c r="Q1637" s="126"/>
      <c r="R1637" s="83" t="s">
        <v>77</v>
      </c>
      <c r="S1637" s="126"/>
      <c r="T1637" s="124" t="s">
        <v>3251</v>
      </c>
      <c r="U1637" s="166"/>
      <c r="V1637" s="83" t="s">
        <v>79</v>
      </c>
      <c r="W1637" s="166"/>
      <c r="X1637" s="83" t="s">
        <v>80</v>
      </c>
      <c r="Y1637" s="168"/>
      <c r="Z1637" s="119" t="s">
        <v>79</v>
      </c>
      <c r="AA1637" s="168"/>
      <c r="AB1637" s="83" t="s">
        <v>80</v>
      </c>
      <c r="AC1637" s="166"/>
      <c r="AD1637" s="106" t="s">
        <v>3252</v>
      </c>
    </row>
    <row r="1638" spans="1:30" s="171" customFormat="1" ht="51">
      <c r="A1638" s="126"/>
      <c r="B1638" s="106" t="s">
        <v>3723</v>
      </c>
      <c r="C1638" s="172"/>
      <c r="D1638" s="106" t="s">
        <v>3724</v>
      </c>
      <c r="E1638" s="126"/>
      <c r="F1638" s="83" t="s">
        <v>254</v>
      </c>
      <c r="G1638" s="126"/>
      <c r="H1638" s="26" t="s">
        <v>116</v>
      </c>
      <c r="I1638" s="126"/>
      <c r="J1638" s="83" t="s">
        <v>3411</v>
      </c>
      <c r="K1638" s="126"/>
      <c r="L1638" s="83" t="s">
        <v>737</v>
      </c>
      <c r="M1638" s="126"/>
      <c r="N1638" s="106" t="s">
        <v>96</v>
      </c>
      <c r="O1638" s="172"/>
      <c r="P1638" s="106" t="s">
        <v>3250</v>
      </c>
      <c r="Q1638" s="126"/>
      <c r="R1638" s="83" t="s">
        <v>77</v>
      </c>
      <c r="S1638" s="126"/>
      <c r="T1638" s="124" t="s">
        <v>3251</v>
      </c>
      <c r="U1638" s="166"/>
      <c r="V1638" s="83" t="s">
        <v>79</v>
      </c>
      <c r="W1638" s="166"/>
      <c r="X1638" s="83" t="s">
        <v>80</v>
      </c>
      <c r="Y1638" s="168"/>
      <c r="Z1638" s="119" t="s">
        <v>79</v>
      </c>
      <c r="AA1638" s="168"/>
      <c r="AB1638" s="83" t="s">
        <v>80</v>
      </c>
      <c r="AC1638" s="166"/>
      <c r="AD1638" s="106" t="s">
        <v>3252</v>
      </c>
    </row>
    <row r="1639" spans="1:30" s="171" customFormat="1" ht="51">
      <c r="A1639" s="126"/>
      <c r="B1639" s="106" t="s">
        <v>3725</v>
      </c>
      <c r="C1639" s="172"/>
      <c r="D1639" s="106" t="s">
        <v>702</v>
      </c>
      <c r="E1639" s="126"/>
      <c r="F1639" s="83" t="s">
        <v>370</v>
      </c>
      <c r="G1639" s="126"/>
      <c r="H1639" s="26" t="s">
        <v>116</v>
      </c>
      <c r="I1639" s="126"/>
      <c r="J1639" s="83" t="s">
        <v>3411</v>
      </c>
      <c r="K1639" s="126"/>
      <c r="L1639" s="83" t="s">
        <v>737</v>
      </c>
      <c r="M1639" s="126"/>
      <c r="N1639" s="106" t="s">
        <v>96</v>
      </c>
      <c r="O1639" s="172"/>
      <c r="P1639" s="106" t="s">
        <v>3250</v>
      </c>
      <c r="Q1639" s="126"/>
      <c r="R1639" s="83" t="s">
        <v>77</v>
      </c>
      <c r="S1639" s="126"/>
      <c r="T1639" s="124" t="s">
        <v>3251</v>
      </c>
      <c r="U1639" s="166"/>
      <c r="V1639" s="83" t="s">
        <v>79</v>
      </c>
      <c r="W1639" s="166"/>
      <c r="X1639" s="83" t="s">
        <v>80</v>
      </c>
      <c r="Y1639" s="168"/>
      <c r="Z1639" s="119" t="s">
        <v>79</v>
      </c>
      <c r="AA1639" s="168"/>
      <c r="AB1639" s="83" t="s">
        <v>80</v>
      </c>
      <c r="AC1639" s="166"/>
      <c r="AD1639" s="106" t="s">
        <v>3252</v>
      </c>
    </row>
    <row r="1640" spans="1:30" s="171" customFormat="1" ht="51">
      <c r="A1640" s="126"/>
      <c r="B1640" s="106" t="s">
        <v>3726</v>
      </c>
      <c r="C1640" s="172"/>
      <c r="D1640" s="106" t="s">
        <v>3271</v>
      </c>
      <c r="E1640" s="126"/>
      <c r="F1640" s="83" t="s">
        <v>254</v>
      </c>
      <c r="G1640" s="126"/>
      <c r="H1640" s="26" t="s">
        <v>116</v>
      </c>
      <c r="I1640" s="126"/>
      <c r="J1640" s="83" t="s">
        <v>3411</v>
      </c>
      <c r="K1640" s="126"/>
      <c r="L1640" s="83" t="s">
        <v>737</v>
      </c>
      <c r="M1640" s="126"/>
      <c r="N1640" s="106" t="s">
        <v>96</v>
      </c>
      <c r="O1640" s="172"/>
      <c r="P1640" s="106" t="s">
        <v>3250</v>
      </c>
      <c r="Q1640" s="126"/>
      <c r="R1640" s="83" t="s">
        <v>77</v>
      </c>
      <c r="S1640" s="126"/>
      <c r="T1640" s="124" t="s">
        <v>3251</v>
      </c>
      <c r="U1640" s="166"/>
      <c r="V1640" s="83" t="s">
        <v>79</v>
      </c>
      <c r="W1640" s="166"/>
      <c r="X1640" s="83" t="s">
        <v>80</v>
      </c>
      <c r="Y1640" s="168"/>
      <c r="Z1640" s="119" t="s">
        <v>79</v>
      </c>
      <c r="AA1640" s="168"/>
      <c r="AB1640" s="83" t="s">
        <v>80</v>
      </c>
      <c r="AC1640" s="166"/>
      <c r="AD1640" s="106" t="s">
        <v>3252</v>
      </c>
    </row>
    <row r="1641" spans="1:30" s="171" customFormat="1" ht="51">
      <c r="A1641" s="126"/>
      <c r="B1641" s="106" t="s">
        <v>3727</v>
      </c>
      <c r="C1641" s="172"/>
      <c r="D1641" s="106" t="s">
        <v>3297</v>
      </c>
      <c r="E1641" s="126"/>
      <c r="F1641" s="83" t="s">
        <v>254</v>
      </c>
      <c r="G1641" s="126"/>
      <c r="H1641" s="26" t="s">
        <v>116</v>
      </c>
      <c r="I1641" s="126"/>
      <c r="J1641" s="83" t="s">
        <v>3411</v>
      </c>
      <c r="K1641" s="126"/>
      <c r="L1641" s="83" t="s">
        <v>737</v>
      </c>
      <c r="M1641" s="126"/>
      <c r="N1641" s="106" t="s">
        <v>96</v>
      </c>
      <c r="O1641" s="172"/>
      <c r="P1641" s="106" t="s">
        <v>3250</v>
      </c>
      <c r="Q1641" s="126"/>
      <c r="R1641" s="83" t="s">
        <v>77</v>
      </c>
      <c r="S1641" s="126"/>
      <c r="T1641" s="124" t="s">
        <v>3251</v>
      </c>
      <c r="U1641" s="166"/>
      <c r="V1641" s="83" t="s">
        <v>79</v>
      </c>
      <c r="W1641" s="166"/>
      <c r="X1641" s="83" t="s">
        <v>80</v>
      </c>
      <c r="Y1641" s="168"/>
      <c r="Z1641" s="119" t="s">
        <v>79</v>
      </c>
      <c r="AA1641" s="168"/>
      <c r="AB1641" s="83" t="s">
        <v>80</v>
      </c>
      <c r="AC1641" s="166"/>
      <c r="AD1641" s="106" t="s">
        <v>3252</v>
      </c>
    </row>
    <row r="1642" spans="1:30" s="171" customFormat="1" ht="51">
      <c r="A1642" s="126"/>
      <c r="B1642" s="106" t="s">
        <v>3728</v>
      </c>
      <c r="C1642" s="172"/>
      <c r="D1642" s="106" t="s">
        <v>1515</v>
      </c>
      <c r="E1642" s="126"/>
      <c r="F1642" s="83" t="s">
        <v>254</v>
      </c>
      <c r="G1642" s="126"/>
      <c r="H1642" s="26" t="s">
        <v>116</v>
      </c>
      <c r="I1642" s="126"/>
      <c r="J1642" s="83" t="s">
        <v>3411</v>
      </c>
      <c r="K1642" s="126"/>
      <c r="L1642" s="83" t="s">
        <v>737</v>
      </c>
      <c r="M1642" s="126"/>
      <c r="N1642" s="106" t="s">
        <v>96</v>
      </c>
      <c r="O1642" s="172"/>
      <c r="P1642" s="106" t="s">
        <v>3250</v>
      </c>
      <c r="Q1642" s="126"/>
      <c r="R1642" s="83" t="s">
        <v>77</v>
      </c>
      <c r="S1642" s="126"/>
      <c r="T1642" s="124" t="s">
        <v>3251</v>
      </c>
      <c r="U1642" s="166"/>
      <c r="V1642" s="83" t="s">
        <v>79</v>
      </c>
      <c r="W1642" s="166"/>
      <c r="X1642" s="83" t="s">
        <v>80</v>
      </c>
      <c r="Y1642" s="168"/>
      <c r="Z1642" s="119" t="s">
        <v>79</v>
      </c>
      <c r="AA1642" s="168"/>
      <c r="AB1642" s="83" t="s">
        <v>80</v>
      </c>
      <c r="AC1642" s="166"/>
      <c r="AD1642" s="106" t="s">
        <v>3252</v>
      </c>
    </row>
    <row r="1643" spans="1:30" s="171" customFormat="1" ht="51">
      <c r="A1643" s="126"/>
      <c r="B1643" s="106" t="s">
        <v>3729</v>
      </c>
      <c r="C1643" s="172"/>
      <c r="D1643" s="106" t="s">
        <v>3612</v>
      </c>
      <c r="E1643" s="126"/>
      <c r="F1643" s="83" t="s">
        <v>254</v>
      </c>
      <c r="G1643" s="126"/>
      <c r="H1643" s="26" t="s">
        <v>116</v>
      </c>
      <c r="I1643" s="126"/>
      <c r="J1643" s="83" t="s">
        <v>3411</v>
      </c>
      <c r="K1643" s="126"/>
      <c r="L1643" s="83" t="s">
        <v>737</v>
      </c>
      <c r="M1643" s="126"/>
      <c r="N1643" s="106" t="s">
        <v>96</v>
      </c>
      <c r="O1643" s="172"/>
      <c r="P1643" s="106" t="s">
        <v>3250</v>
      </c>
      <c r="Q1643" s="126"/>
      <c r="R1643" s="83" t="s">
        <v>77</v>
      </c>
      <c r="S1643" s="126"/>
      <c r="T1643" s="124" t="s">
        <v>3251</v>
      </c>
      <c r="U1643" s="166"/>
      <c r="V1643" s="83" t="s">
        <v>79</v>
      </c>
      <c r="W1643" s="166"/>
      <c r="X1643" s="83" t="s">
        <v>80</v>
      </c>
      <c r="Y1643" s="168"/>
      <c r="Z1643" s="119" t="s">
        <v>79</v>
      </c>
      <c r="AA1643" s="168"/>
      <c r="AB1643" s="83" t="s">
        <v>80</v>
      </c>
      <c r="AC1643" s="166"/>
      <c r="AD1643" s="106" t="s">
        <v>3252</v>
      </c>
    </row>
    <row r="1644" spans="1:30" s="171" customFormat="1" ht="51">
      <c r="A1644" s="126"/>
      <c r="B1644" s="106" t="s">
        <v>3730</v>
      </c>
      <c r="C1644" s="172"/>
      <c r="D1644" s="106" t="s">
        <v>3724</v>
      </c>
      <c r="E1644" s="126"/>
      <c r="F1644" s="83" t="s">
        <v>254</v>
      </c>
      <c r="G1644" s="126"/>
      <c r="H1644" s="26" t="s">
        <v>116</v>
      </c>
      <c r="I1644" s="126"/>
      <c r="J1644" s="83" t="s">
        <v>3411</v>
      </c>
      <c r="K1644" s="126"/>
      <c r="L1644" s="83" t="s">
        <v>737</v>
      </c>
      <c r="M1644" s="126"/>
      <c r="N1644" s="106" t="s">
        <v>96</v>
      </c>
      <c r="O1644" s="172"/>
      <c r="P1644" s="106" t="s">
        <v>3250</v>
      </c>
      <c r="Q1644" s="126"/>
      <c r="R1644" s="83" t="s">
        <v>77</v>
      </c>
      <c r="S1644" s="126"/>
      <c r="T1644" s="124" t="s">
        <v>3251</v>
      </c>
      <c r="U1644" s="166"/>
      <c r="V1644" s="83" t="s">
        <v>79</v>
      </c>
      <c r="W1644" s="166"/>
      <c r="X1644" s="83" t="s">
        <v>80</v>
      </c>
      <c r="Y1644" s="168"/>
      <c r="Z1644" s="119" t="s">
        <v>79</v>
      </c>
      <c r="AA1644" s="168"/>
      <c r="AB1644" s="83" t="s">
        <v>80</v>
      </c>
      <c r="AC1644" s="166"/>
      <c r="AD1644" s="106" t="s">
        <v>3252</v>
      </c>
    </row>
    <row r="1645" spans="1:30" s="171" customFormat="1" ht="51">
      <c r="A1645" s="126"/>
      <c r="B1645" s="106" t="s">
        <v>3731</v>
      </c>
      <c r="C1645" s="172"/>
      <c r="D1645" s="106" t="s">
        <v>3362</v>
      </c>
      <c r="E1645" s="126"/>
      <c r="F1645" s="83" t="s">
        <v>254</v>
      </c>
      <c r="G1645" s="126"/>
      <c r="H1645" s="26" t="s">
        <v>116</v>
      </c>
      <c r="I1645" s="126"/>
      <c r="J1645" s="83" t="s">
        <v>3411</v>
      </c>
      <c r="K1645" s="126"/>
      <c r="L1645" s="83" t="s">
        <v>737</v>
      </c>
      <c r="M1645" s="126"/>
      <c r="N1645" s="106" t="s">
        <v>96</v>
      </c>
      <c r="O1645" s="172"/>
      <c r="P1645" s="106" t="s">
        <v>3250</v>
      </c>
      <c r="Q1645" s="126"/>
      <c r="R1645" s="83" t="s">
        <v>77</v>
      </c>
      <c r="S1645" s="126"/>
      <c r="T1645" s="124" t="s">
        <v>3251</v>
      </c>
      <c r="U1645" s="166"/>
      <c r="V1645" s="83" t="s">
        <v>79</v>
      </c>
      <c r="W1645" s="166"/>
      <c r="X1645" s="83" t="s">
        <v>80</v>
      </c>
      <c r="Y1645" s="168"/>
      <c r="Z1645" s="119" t="s">
        <v>79</v>
      </c>
      <c r="AA1645" s="168"/>
      <c r="AB1645" s="83" t="s">
        <v>80</v>
      </c>
      <c r="AC1645" s="166"/>
      <c r="AD1645" s="106" t="s">
        <v>3252</v>
      </c>
    </row>
    <row r="1646" spans="1:30" s="171" customFormat="1" ht="51">
      <c r="A1646" s="126"/>
      <c r="B1646" s="106" t="s">
        <v>3732</v>
      </c>
      <c r="C1646" s="172"/>
      <c r="D1646" s="106" t="s">
        <v>362</v>
      </c>
      <c r="E1646" s="126"/>
      <c r="F1646" s="23" t="s">
        <v>363</v>
      </c>
      <c r="G1646" s="126"/>
      <c r="H1646" s="26" t="s">
        <v>116</v>
      </c>
      <c r="I1646" s="126"/>
      <c r="J1646" s="83" t="s">
        <v>3411</v>
      </c>
      <c r="K1646" s="126"/>
      <c r="L1646" s="83" t="s">
        <v>737</v>
      </c>
      <c r="M1646" s="126"/>
      <c r="N1646" s="106" t="s">
        <v>96</v>
      </c>
      <c r="O1646" s="172"/>
      <c r="P1646" s="106" t="s">
        <v>3250</v>
      </c>
      <c r="Q1646" s="126"/>
      <c r="R1646" s="83" t="s">
        <v>77</v>
      </c>
      <c r="S1646" s="126"/>
      <c r="T1646" s="124" t="s">
        <v>3251</v>
      </c>
      <c r="U1646" s="166"/>
      <c r="V1646" s="83" t="s">
        <v>79</v>
      </c>
      <c r="W1646" s="166"/>
      <c r="X1646" s="83" t="s">
        <v>80</v>
      </c>
      <c r="Y1646" s="168"/>
      <c r="Z1646" s="119" t="s">
        <v>79</v>
      </c>
      <c r="AA1646" s="168"/>
      <c r="AB1646" s="83" t="s">
        <v>80</v>
      </c>
      <c r="AC1646" s="166"/>
      <c r="AD1646" s="106" t="s">
        <v>3252</v>
      </c>
    </row>
    <row r="1647" spans="1:30" s="171" customFormat="1" ht="51">
      <c r="A1647" s="126"/>
      <c r="B1647" s="106" t="s">
        <v>3733</v>
      </c>
      <c r="C1647" s="172"/>
      <c r="D1647" s="106" t="s">
        <v>1434</v>
      </c>
      <c r="E1647" s="126"/>
      <c r="F1647" s="83" t="s">
        <v>254</v>
      </c>
      <c r="G1647" s="126"/>
      <c r="H1647" s="26" t="s">
        <v>116</v>
      </c>
      <c r="I1647" s="126"/>
      <c r="J1647" s="83" t="s">
        <v>3411</v>
      </c>
      <c r="K1647" s="126"/>
      <c r="L1647" s="83" t="s">
        <v>737</v>
      </c>
      <c r="M1647" s="126"/>
      <c r="N1647" s="106" t="s">
        <v>96</v>
      </c>
      <c r="O1647" s="172"/>
      <c r="P1647" s="106" t="s">
        <v>3250</v>
      </c>
      <c r="Q1647" s="126"/>
      <c r="R1647" s="83" t="s">
        <v>77</v>
      </c>
      <c r="S1647" s="126"/>
      <c r="T1647" s="124" t="s">
        <v>3251</v>
      </c>
      <c r="U1647" s="166"/>
      <c r="V1647" s="83" t="s">
        <v>79</v>
      </c>
      <c r="W1647" s="166"/>
      <c r="X1647" s="83" t="s">
        <v>80</v>
      </c>
      <c r="Y1647" s="168"/>
      <c r="Z1647" s="119" t="s">
        <v>79</v>
      </c>
      <c r="AA1647" s="168"/>
      <c r="AB1647" s="83" t="s">
        <v>80</v>
      </c>
      <c r="AC1647" s="166"/>
      <c r="AD1647" s="106" t="s">
        <v>3252</v>
      </c>
    </row>
    <row r="1648" spans="1:30" s="171" customFormat="1" ht="51">
      <c r="A1648" s="126"/>
      <c r="B1648" s="106" t="s">
        <v>3734</v>
      </c>
      <c r="C1648" s="172"/>
      <c r="D1648" s="106" t="s">
        <v>3362</v>
      </c>
      <c r="E1648" s="126"/>
      <c r="F1648" s="83" t="s">
        <v>254</v>
      </c>
      <c r="G1648" s="126"/>
      <c r="H1648" s="26" t="s">
        <v>116</v>
      </c>
      <c r="I1648" s="126"/>
      <c r="J1648" s="83" t="s">
        <v>3411</v>
      </c>
      <c r="K1648" s="126"/>
      <c r="L1648" s="83" t="s">
        <v>737</v>
      </c>
      <c r="M1648" s="126"/>
      <c r="N1648" s="106" t="s">
        <v>96</v>
      </c>
      <c r="O1648" s="172"/>
      <c r="P1648" s="106" t="s">
        <v>3250</v>
      </c>
      <c r="Q1648" s="126"/>
      <c r="R1648" s="83" t="s">
        <v>77</v>
      </c>
      <c r="S1648" s="126"/>
      <c r="T1648" s="124" t="s">
        <v>3251</v>
      </c>
      <c r="U1648" s="166"/>
      <c r="V1648" s="83" t="s">
        <v>79</v>
      </c>
      <c r="W1648" s="166"/>
      <c r="X1648" s="83" t="s">
        <v>80</v>
      </c>
      <c r="Y1648" s="168"/>
      <c r="Z1648" s="119" t="s">
        <v>79</v>
      </c>
      <c r="AA1648" s="168"/>
      <c r="AB1648" s="83" t="s">
        <v>80</v>
      </c>
      <c r="AC1648" s="166"/>
      <c r="AD1648" s="106" t="s">
        <v>3252</v>
      </c>
    </row>
    <row r="1649" spans="1:30" s="171" customFormat="1" ht="51">
      <c r="A1649" s="126"/>
      <c r="B1649" s="106" t="s">
        <v>3735</v>
      </c>
      <c r="C1649" s="172"/>
      <c r="D1649" s="106" t="s">
        <v>702</v>
      </c>
      <c r="E1649" s="126"/>
      <c r="F1649" s="83" t="s">
        <v>370</v>
      </c>
      <c r="G1649" s="126"/>
      <c r="H1649" s="26" t="s">
        <v>116</v>
      </c>
      <c r="I1649" s="126"/>
      <c r="J1649" s="83" t="s">
        <v>3411</v>
      </c>
      <c r="K1649" s="126"/>
      <c r="L1649" s="83" t="s">
        <v>737</v>
      </c>
      <c r="M1649" s="126"/>
      <c r="N1649" s="106" t="s">
        <v>96</v>
      </c>
      <c r="O1649" s="172"/>
      <c r="P1649" s="106" t="s">
        <v>3250</v>
      </c>
      <c r="Q1649" s="126"/>
      <c r="R1649" s="83" t="s">
        <v>77</v>
      </c>
      <c r="S1649" s="126"/>
      <c r="T1649" s="124" t="s">
        <v>3251</v>
      </c>
      <c r="U1649" s="166"/>
      <c r="V1649" s="83" t="s">
        <v>79</v>
      </c>
      <c r="W1649" s="166"/>
      <c r="X1649" s="83" t="s">
        <v>80</v>
      </c>
      <c r="Y1649" s="168"/>
      <c r="Z1649" s="119" t="s">
        <v>79</v>
      </c>
      <c r="AA1649" s="168"/>
      <c r="AB1649" s="83" t="s">
        <v>80</v>
      </c>
      <c r="AC1649" s="166"/>
      <c r="AD1649" s="106" t="s">
        <v>3252</v>
      </c>
    </row>
    <row r="1650" spans="1:30" s="171" customFormat="1" ht="51">
      <c r="A1650" s="126"/>
      <c r="B1650" s="106" t="s">
        <v>3736</v>
      </c>
      <c r="C1650" s="172"/>
      <c r="D1650" s="106" t="s">
        <v>71</v>
      </c>
      <c r="E1650" s="126"/>
      <c r="F1650" s="83" t="s">
        <v>71</v>
      </c>
      <c r="G1650" s="126"/>
      <c r="H1650" s="26" t="s">
        <v>116</v>
      </c>
      <c r="I1650" s="126"/>
      <c r="J1650" s="83" t="s">
        <v>3411</v>
      </c>
      <c r="K1650" s="126"/>
      <c r="L1650" s="83" t="s">
        <v>737</v>
      </c>
      <c r="M1650" s="126"/>
      <c r="N1650" s="106" t="s">
        <v>96</v>
      </c>
      <c r="O1650" s="172"/>
      <c r="P1650" s="106" t="s">
        <v>3250</v>
      </c>
      <c r="Q1650" s="126"/>
      <c r="R1650" s="83" t="s">
        <v>77</v>
      </c>
      <c r="S1650" s="126"/>
      <c r="T1650" s="124" t="s">
        <v>3251</v>
      </c>
      <c r="U1650" s="166"/>
      <c r="V1650" s="83" t="s">
        <v>79</v>
      </c>
      <c r="W1650" s="166"/>
      <c r="X1650" s="83" t="s">
        <v>80</v>
      </c>
      <c r="Y1650" s="168"/>
      <c r="Z1650" s="119" t="s">
        <v>79</v>
      </c>
      <c r="AA1650" s="168"/>
      <c r="AB1650" s="83" t="s">
        <v>80</v>
      </c>
      <c r="AC1650" s="166"/>
      <c r="AD1650" s="106" t="s">
        <v>3252</v>
      </c>
    </row>
    <row r="1651" spans="1:30" s="171" customFormat="1" ht="51">
      <c r="A1651" s="126"/>
      <c r="B1651" s="106" t="s">
        <v>3737</v>
      </c>
      <c r="C1651" s="172"/>
      <c r="D1651" s="106" t="s">
        <v>3362</v>
      </c>
      <c r="E1651" s="126"/>
      <c r="F1651" s="83" t="s">
        <v>254</v>
      </c>
      <c r="G1651" s="126"/>
      <c r="H1651" s="26" t="s">
        <v>116</v>
      </c>
      <c r="I1651" s="126"/>
      <c r="J1651" s="83" t="s">
        <v>3411</v>
      </c>
      <c r="K1651" s="126"/>
      <c r="L1651" s="83" t="s">
        <v>737</v>
      </c>
      <c r="M1651" s="126"/>
      <c r="N1651" s="106" t="s">
        <v>96</v>
      </c>
      <c r="O1651" s="172"/>
      <c r="P1651" s="106" t="s">
        <v>3250</v>
      </c>
      <c r="Q1651" s="126"/>
      <c r="R1651" s="83" t="s">
        <v>77</v>
      </c>
      <c r="S1651" s="126"/>
      <c r="T1651" s="124" t="s">
        <v>3251</v>
      </c>
      <c r="U1651" s="166"/>
      <c r="V1651" s="83" t="s">
        <v>79</v>
      </c>
      <c r="W1651" s="166"/>
      <c r="X1651" s="83" t="s">
        <v>80</v>
      </c>
      <c r="Y1651" s="168"/>
      <c r="Z1651" s="119" t="s">
        <v>79</v>
      </c>
      <c r="AA1651" s="168"/>
      <c r="AB1651" s="83" t="s">
        <v>80</v>
      </c>
      <c r="AC1651" s="166"/>
      <c r="AD1651" s="106" t="s">
        <v>3252</v>
      </c>
    </row>
    <row r="1652" spans="1:30" s="171" customFormat="1" ht="51">
      <c r="A1652" s="126"/>
      <c r="B1652" s="106" t="s">
        <v>3738</v>
      </c>
      <c r="C1652" s="172"/>
      <c r="D1652" s="106" t="s">
        <v>3362</v>
      </c>
      <c r="E1652" s="126"/>
      <c r="F1652" s="83" t="s">
        <v>254</v>
      </c>
      <c r="G1652" s="126"/>
      <c r="H1652" s="26" t="s">
        <v>116</v>
      </c>
      <c r="I1652" s="126"/>
      <c r="J1652" s="83" t="s">
        <v>3411</v>
      </c>
      <c r="K1652" s="126"/>
      <c r="L1652" s="83" t="s">
        <v>737</v>
      </c>
      <c r="M1652" s="126"/>
      <c r="N1652" s="106" t="s">
        <v>96</v>
      </c>
      <c r="O1652" s="172"/>
      <c r="P1652" s="106" t="s">
        <v>3250</v>
      </c>
      <c r="Q1652" s="126"/>
      <c r="R1652" s="83" t="s">
        <v>77</v>
      </c>
      <c r="S1652" s="126"/>
      <c r="T1652" s="124" t="s">
        <v>3251</v>
      </c>
      <c r="U1652" s="166"/>
      <c r="V1652" s="83" t="s">
        <v>79</v>
      </c>
      <c r="W1652" s="166"/>
      <c r="X1652" s="83" t="s">
        <v>80</v>
      </c>
      <c r="Y1652" s="168"/>
      <c r="Z1652" s="119" t="s">
        <v>79</v>
      </c>
      <c r="AA1652" s="168"/>
      <c r="AB1652" s="83" t="s">
        <v>80</v>
      </c>
      <c r="AC1652" s="166"/>
      <c r="AD1652" s="106" t="s">
        <v>3252</v>
      </c>
    </row>
    <row r="1653" spans="1:30" s="171" customFormat="1" ht="51">
      <c r="A1653" s="126"/>
      <c r="B1653" s="106" t="s">
        <v>3739</v>
      </c>
      <c r="C1653" s="172"/>
      <c r="D1653" s="106" t="s">
        <v>362</v>
      </c>
      <c r="E1653" s="126"/>
      <c r="F1653" s="23" t="s">
        <v>363</v>
      </c>
      <c r="G1653" s="126"/>
      <c r="H1653" s="26" t="s">
        <v>116</v>
      </c>
      <c r="I1653" s="126"/>
      <c r="J1653" s="83" t="s">
        <v>3411</v>
      </c>
      <c r="K1653" s="126"/>
      <c r="L1653" s="83" t="s">
        <v>737</v>
      </c>
      <c r="M1653" s="126"/>
      <c r="N1653" s="106" t="s">
        <v>96</v>
      </c>
      <c r="O1653" s="172"/>
      <c r="P1653" s="106" t="s">
        <v>3250</v>
      </c>
      <c r="Q1653" s="126"/>
      <c r="R1653" s="83" t="s">
        <v>77</v>
      </c>
      <c r="S1653" s="126"/>
      <c r="T1653" s="124" t="s">
        <v>3251</v>
      </c>
      <c r="U1653" s="166"/>
      <c r="V1653" s="83" t="s">
        <v>79</v>
      </c>
      <c r="W1653" s="166"/>
      <c r="X1653" s="83" t="s">
        <v>80</v>
      </c>
      <c r="Y1653" s="168"/>
      <c r="Z1653" s="119" t="s">
        <v>79</v>
      </c>
      <c r="AA1653" s="168"/>
      <c r="AB1653" s="83" t="s">
        <v>80</v>
      </c>
      <c r="AC1653" s="166"/>
      <c r="AD1653" s="106" t="s">
        <v>3252</v>
      </c>
    </row>
    <row r="1654" spans="1:30" s="171" customFormat="1" ht="51">
      <c r="A1654" s="126"/>
      <c r="B1654" s="106" t="s">
        <v>3740</v>
      </c>
      <c r="C1654" s="172"/>
      <c r="D1654" s="106" t="s">
        <v>1732</v>
      </c>
      <c r="E1654" s="126"/>
      <c r="F1654" s="83" t="s">
        <v>254</v>
      </c>
      <c r="G1654" s="126"/>
      <c r="H1654" s="26" t="s">
        <v>116</v>
      </c>
      <c r="I1654" s="126"/>
      <c r="J1654" s="83" t="s">
        <v>3411</v>
      </c>
      <c r="K1654" s="126"/>
      <c r="L1654" s="83" t="s">
        <v>737</v>
      </c>
      <c r="M1654" s="126"/>
      <c r="N1654" s="106" t="s">
        <v>96</v>
      </c>
      <c r="O1654" s="172"/>
      <c r="P1654" s="106" t="s">
        <v>3250</v>
      </c>
      <c r="Q1654" s="126"/>
      <c r="R1654" s="83" t="s">
        <v>77</v>
      </c>
      <c r="S1654" s="126"/>
      <c r="T1654" s="124" t="s">
        <v>3251</v>
      </c>
      <c r="U1654" s="166"/>
      <c r="V1654" s="83" t="s">
        <v>79</v>
      </c>
      <c r="W1654" s="166"/>
      <c r="X1654" s="83" t="s">
        <v>80</v>
      </c>
      <c r="Y1654" s="168"/>
      <c r="Z1654" s="119" t="s">
        <v>79</v>
      </c>
      <c r="AA1654" s="168"/>
      <c r="AB1654" s="83" t="s">
        <v>80</v>
      </c>
      <c r="AC1654" s="166"/>
      <c r="AD1654" s="106" t="s">
        <v>3252</v>
      </c>
    </row>
    <row r="1655" spans="1:30" s="171" customFormat="1" ht="51">
      <c r="A1655" s="126"/>
      <c r="B1655" s="106" t="s">
        <v>3741</v>
      </c>
      <c r="C1655" s="172"/>
      <c r="D1655" s="106" t="s">
        <v>702</v>
      </c>
      <c r="E1655" s="126"/>
      <c r="F1655" s="83" t="s">
        <v>370</v>
      </c>
      <c r="G1655" s="126"/>
      <c r="H1655" s="26" t="s">
        <v>116</v>
      </c>
      <c r="I1655" s="126"/>
      <c r="J1655" s="83" t="s">
        <v>3411</v>
      </c>
      <c r="K1655" s="126"/>
      <c r="L1655" s="83" t="s">
        <v>737</v>
      </c>
      <c r="M1655" s="126"/>
      <c r="N1655" s="106" t="s">
        <v>96</v>
      </c>
      <c r="O1655" s="172"/>
      <c r="P1655" s="106" t="s">
        <v>3250</v>
      </c>
      <c r="Q1655" s="126"/>
      <c r="R1655" s="83" t="s">
        <v>77</v>
      </c>
      <c r="S1655" s="126"/>
      <c r="T1655" s="124" t="s">
        <v>3251</v>
      </c>
      <c r="U1655" s="166"/>
      <c r="V1655" s="83" t="s">
        <v>79</v>
      </c>
      <c r="W1655" s="166"/>
      <c r="X1655" s="83" t="s">
        <v>80</v>
      </c>
      <c r="Y1655" s="168"/>
      <c r="Z1655" s="119" t="s">
        <v>79</v>
      </c>
      <c r="AA1655" s="168"/>
      <c r="AB1655" s="83" t="s">
        <v>80</v>
      </c>
      <c r="AC1655" s="166"/>
      <c r="AD1655" s="106" t="s">
        <v>3252</v>
      </c>
    </row>
    <row r="1656" spans="1:30" s="171" customFormat="1" ht="51">
      <c r="A1656" s="126"/>
      <c r="B1656" s="106" t="s">
        <v>3742</v>
      </c>
      <c r="C1656" s="172"/>
      <c r="D1656" s="106" t="s">
        <v>3362</v>
      </c>
      <c r="E1656" s="126"/>
      <c r="F1656" s="83" t="s">
        <v>254</v>
      </c>
      <c r="G1656" s="126"/>
      <c r="H1656" s="26" t="s">
        <v>116</v>
      </c>
      <c r="I1656" s="126"/>
      <c r="J1656" s="83" t="s">
        <v>3411</v>
      </c>
      <c r="K1656" s="126"/>
      <c r="L1656" s="83" t="s">
        <v>737</v>
      </c>
      <c r="M1656" s="126"/>
      <c r="N1656" s="106" t="s">
        <v>96</v>
      </c>
      <c r="O1656" s="172"/>
      <c r="P1656" s="106" t="s">
        <v>3250</v>
      </c>
      <c r="Q1656" s="126"/>
      <c r="R1656" s="83" t="s">
        <v>77</v>
      </c>
      <c r="S1656" s="126"/>
      <c r="T1656" s="124" t="s">
        <v>3251</v>
      </c>
      <c r="U1656" s="166"/>
      <c r="V1656" s="83" t="s">
        <v>79</v>
      </c>
      <c r="W1656" s="166"/>
      <c r="X1656" s="83" t="s">
        <v>80</v>
      </c>
      <c r="Y1656" s="168"/>
      <c r="Z1656" s="119" t="s">
        <v>79</v>
      </c>
      <c r="AA1656" s="168"/>
      <c r="AB1656" s="83" t="s">
        <v>80</v>
      </c>
      <c r="AC1656" s="166"/>
      <c r="AD1656" s="106" t="s">
        <v>3252</v>
      </c>
    </row>
    <row r="1657" spans="1:30" s="171" customFormat="1" ht="51">
      <c r="A1657" s="126"/>
      <c r="B1657" s="106" t="s">
        <v>3743</v>
      </c>
      <c r="C1657" s="172"/>
      <c r="D1657" s="106" t="s">
        <v>3362</v>
      </c>
      <c r="E1657" s="126"/>
      <c r="F1657" s="83" t="s">
        <v>254</v>
      </c>
      <c r="G1657" s="126"/>
      <c r="H1657" s="26" t="s">
        <v>116</v>
      </c>
      <c r="I1657" s="126"/>
      <c r="J1657" s="83" t="s">
        <v>3411</v>
      </c>
      <c r="K1657" s="126"/>
      <c r="L1657" s="83" t="s">
        <v>737</v>
      </c>
      <c r="M1657" s="126"/>
      <c r="N1657" s="106" t="s">
        <v>96</v>
      </c>
      <c r="O1657" s="172"/>
      <c r="P1657" s="106" t="s">
        <v>3250</v>
      </c>
      <c r="Q1657" s="126"/>
      <c r="R1657" s="83" t="s">
        <v>77</v>
      </c>
      <c r="S1657" s="126"/>
      <c r="T1657" s="124" t="s">
        <v>3251</v>
      </c>
      <c r="U1657" s="166"/>
      <c r="V1657" s="83" t="s">
        <v>79</v>
      </c>
      <c r="W1657" s="166"/>
      <c r="X1657" s="83" t="s">
        <v>80</v>
      </c>
      <c r="Y1657" s="168"/>
      <c r="Z1657" s="119" t="s">
        <v>79</v>
      </c>
      <c r="AA1657" s="168"/>
      <c r="AB1657" s="83" t="s">
        <v>80</v>
      </c>
      <c r="AC1657" s="166"/>
      <c r="AD1657" s="106" t="s">
        <v>3252</v>
      </c>
    </row>
    <row r="1658" spans="1:30" s="171" customFormat="1" ht="51">
      <c r="A1658" s="126"/>
      <c r="B1658" s="106" t="s">
        <v>3744</v>
      </c>
      <c r="C1658" s="172"/>
      <c r="D1658" s="106" t="s">
        <v>2428</v>
      </c>
      <c r="E1658" s="126"/>
      <c r="F1658" s="83" t="s">
        <v>123</v>
      </c>
      <c r="G1658" s="126"/>
      <c r="H1658" s="26" t="s">
        <v>116</v>
      </c>
      <c r="I1658" s="126"/>
      <c r="J1658" s="83" t="s">
        <v>3411</v>
      </c>
      <c r="K1658" s="126"/>
      <c r="L1658" s="83" t="s">
        <v>737</v>
      </c>
      <c r="M1658" s="126"/>
      <c r="N1658" s="106" t="s">
        <v>96</v>
      </c>
      <c r="O1658" s="172"/>
      <c r="P1658" s="106" t="s">
        <v>3250</v>
      </c>
      <c r="Q1658" s="126"/>
      <c r="R1658" s="83" t="s">
        <v>77</v>
      </c>
      <c r="S1658" s="126"/>
      <c r="T1658" s="124" t="s">
        <v>3251</v>
      </c>
      <c r="U1658" s="166"/>
      <c r="V1658" s="83" t="s">
        <v>79</v>
      </c>
      <c r="W1658" s="166"/>
      <c r="X1658" s="83" t="s">
        <v>80</v>
      </c>
      <c r="Y1658" s="168"/>
      <c r="Z1658" s="119" t="s">
        <v>79</v>
      </c>
      <c r="AA1658" s="168"/>
      <c r="AB1658" s="83" t="s">
        <v>80</v>
      </c>
      <c r="AC1658" s="166"/>
      <c r="AD1658" s="106" t="s">
        <v>3252</v>
      </c>
    </row>
    <row r="1659" spans="1:30" s="171" customFormat="1" ht="51">
      <c r="A1659" s="126"/>
      <c r="B1659" s="106" t="s">
        <v>3745</v>
      </c>
      <c r="C1659" s="172"/>
      <c r="D1659" s="106" t="s">
        <v>3271</v>
      </c>
      <c r="E1659" s="126"/>
      <c r="F1659" s="83" t="s">
        <v>254</v>
      </c>
      <c r="G1659" s="126"/>
      <c r="H1659" s="26" t="s">
        <v>116</v>
      </c>
      <c r="I1659" s="126"/>
      <c r="J1659" s="83" t="s">
        <v>3411</v>
      </c>
      <c r="K1659" s="126"/>
      <c r="L1659" s="83" t="s">
        <v>737</v>
      </c>
      <c r="M1659" s="126"/>
      <c r="N1659" s="106" t="s">
        <v>96</v>
      </c>
      <c r="O1659" s="172"/>
      <c r="P1659" s="106" t="s">
        <v>3250</v>
      </c>
      <c r="Q1659" s="126"/>
      <c r="R1659" s="83" t="s">
        <v>77</v>
      </c>
      <c r="S1659" s="126"/>
      <c r="T1659" s="124" t="s">
        <v>3251</v>
      </c>
      <c r="U1659" s="166"/>
      <c r="V1659" s="83" t="s">
        <v>79</v>
      </c>
      <c r="W1659" s="166"/>
      <c r="X1659" s="83" t="s">
        <v>80</v>
      </c>
      <c r="Y1659" s="168"/>
      <c r="Z1659" s="119" t="s">
        <v>79</v>
      </c>
      <c r="AA1659" s="168"/>
      <c r="AB1659" s="83" t="s">
        <v>80</v>
      </c>
      <c r="AC1659" s="166"/>
      <c r="AD1659" s="106" t="s">
        <v>3252</v>
      </c>
    </row>
    <row r="1660" spans="1:30" s="171" customFormat="1" ht="51">
      <c r="A1660" s="126"/>
      <c r="B1660" s="106" t="s">
        <v>3746</v>
      </c>
      <c r="C1660" s="172"/>
      <c r="D1660" s="106" t="s">
        <v>3362</v>
      </c>
      <c r="E1660" s="126"/>
      <c r="F1660" s="83" t="s">
        <v>254</v>
      </c>
      <c r="G1660" s="126"/>
      <c r="H1660" s="26" t="s">
        <v>116</v>
      </c>
      <c r="I1660" s="126"/>
      <c r="J1660" s="83" t="s">
        <v>3411</v>
      </c>
      <c r="K1660" s="126"/>
      <c r="L1660" s="83" t="s">
        <v>737</v>
      </c>
      <c r="M1660" s="126"/>
      <c r="N1660" s="106" t="s">
        <v>96</v>
      </c>
      <c r="O1660" s="172"/>
      <c r="P1660" s="106" t="s">
        <v>3250</v>
      </c>
      <c r="Q1660" s="126"/>
      <c r="R1660" s="83" t="s">
        <v>77</v>
      </c>
      <c r="S1660" s="126"/>
      <c r="T1660" s="124" t="s">
        <v>3251</v>
      </c>
      <c r="U1660" s="166"/>
      <c r="V1660" s="83" t="s">
        <v>79</v>
      </c>
      <c r="W1660" s="166"/>
      <c r="X1660" s="83" t="s">
        <v>80</v>
      </c>
      <c r="Y1660" s="168"/>
      <c r="Z1660" s="119" t="s">
        <v>79</v>
      </c>
      <c r="AA1660" s="168"/>
      <c r="AB1660" s="83" t="s">
        <v>80</v>
      </c>
      <c r="AC1660" s="166"/>
      <c r="AD1660" s="106" t="s">
        <v>3252</v>
      </c>
    </row>
    <row r="1661" spans="1:30" s="171" customFormat="1" ht="51">
      <c r="A1661" s="126"/>
      <c r="B1661" s="106" t="s">
        <v>3747</v>
      </c>
      <c r="C1661" s="172"/>
      <c r="D1661" s="106" t="s">
        <v>3612</v>
      </c>
      <c r="E1661" s="126"/>
      <c r="F1661" s="83" t="s">
        <v>254</v>
      </c>
      <c r="G1661" s="126"/>
      <c r="H1661" s="26" t="s">
        <v>116</v>
      </c>
      <c r="I1661" s="126"/>
      <c r="J1661" s="83" t="s">
        <v>3411</v>
      </c>
      <c r="K1661" s="126"/>
      <c r="L1661" s="83" t="s">
        <v>737</v>
      </c>
      <c r="M1661" s="126"/>
      <c r="N1661" s="106" t="s">
        <v>96</v>
      </c>
      <c r="O1661" s="172"/>
      <c r="P1661" s="106" t="s">
        <v>3250</v>
      </c>
      <c r="Q1661" s="126"/>
      <c r="R1661" s="83" t="s">
        <v>77</v>
      </c>
      <c r="S1661" s="126"/>
      <c r="T1661" s="124" t="s">
        <v>3251</v>
      </c>
      <c r="U1661" s="166"/>
      <c r="V1661" s="83" t="s">
        <v>79</v>
      </c>
      <c r="W1661" s="166"/>
      <c r="X1661" s="83" t="s">
        <v>80</v>
      </c>
      <c r="Y1661" s="168"/>
      <c r="Z1661" s="119" t="s">
        <v>79</v>
      </c>
      <c r="AA1661" s="168"/>
      <c r="AB1661" s="83" t="s">
        <v>80</v>
      </c>
      <c r="AC1661" s="166"/>
      <c r="AD1661" s="106" t="s">
        <v>3252</v>
      </c>
    </row>
    <row r="1662" spans="1:30" s="171" customFormat="1" ht="51">
      <c r="A1662" s="126"/>
      <c r="B1662" s="106" t="s">
        <v>3748</v>
      </c>
      <c r="C1662" s="172"/>
      <c r="D1662" s="106" t="s">
        <v>3749</v>
      </c>
      <c r="E1662" s="126"/>
      <c r="F1662" s="83" t="s">
        <v>254</v>
      </c>
      <c r="G1662" s="126"/>
      <c r="H1662" s="26" t="s">
        <v>116</v>
      </c>
      <c r="I1662" s="126"/>
      <c r="J1662" s="83" t="s">
        <v>3411</v>
      </c>
      <c r="K1662" s="126"/>
      <c r="L1662" s="83" t="s">
        <v>737</v>
      </c>
      <c r="M1662" s="126"/>
      <c r="N1662" s="106" t="s">
        <v>96</v>
      </c>
      <c r="O1662" s="172"/>
      <c r="P1662" s="106" t="s">
        <v>3250</v>
      </c>
      <c r="Q1662" s="126"/>
      <c r="R1662" s="83" t="s">
        <v>77</v>
      </c>
      <c r="S1662" s="126"/>
      <c r="T1662" s="124" t="s">
        <v>3251</v>
      </c>
      <c r="U1662" s="166"/>
      <c r="V1662" s="83" t="s">
        <v>79</v>
      </c>
      <c r="W1662" s="166"/>
      <c r="X1662" s="83" t="s">
        <v>80</v>
      </c>
      <c r="Y1662" s="168"/>
      <c r="Z1662" s="119" t="s">
        <v>79</v>
      </c>
      <c r="AA1662" s="168"/>
      <c r="AB1662" s="83" t="s">
        <v>80</v>
      </c>
      <c r="AC1662" s="166"/>
      <c r="AD1662" s="106" t="s">
        <v>3252</v>
      </c>
    </row>
    <row r="1663" spans="1:30" s="171" customFormat="1" ht="51">
      <c r="A1663" s="126"/>
      <c r="B1663" s="106" t="s">
        <v>3750</v>
      </c>
      <c r="C1663" s="172"/>
      <c r="D1663" s="106" t="s">
        <v>1515</v>
      </c>
      <c r="E1663" s="126"/>
      <c r="F1663" s="83" t="s">
        <v>254</v>
      </c>
      <c r="G1663" s="126"/>
      <c r="H1663" s="26" t="s">
        <v>116</v>
      </c>
      <c r="I1663" s="126"/>
      <c r="J1663" s="83" t="s">
        <v>3443</v>
      </c>
      <c r="K1663" s="126"/>
      <c r="L1663" s="83" t="s">
        <v>737</v>
      </c>
      <c r="M1663" s="126"/>
      <c r="N1663" s="106" t="s">
        <v>96</v>
      </c>
      <c r="O1663" s="172"/>
      <c r="P1663" s="106" t="s">
        <v>3250</v>
      </c>
      <c r="Q1663" s="126"/>
      <c r="R1663" s="83" t="s">
        <v>77</v>
      </c>
      <c r="S1663" s="126"/>
      <c r="T1663" s="124" t="s">
        <v>3251</v>
      </c>
      <c r="U1663" s="166"/>
      <c r="V1663" s="83" t="s">
        <v>79</v>
      </c>
      <c r="W1663" s="166"/>
      <c r="X1663" s="83" t="s">
        <v>80</v>
      </c>
      <c r="Y1663" s="168"/>
      <c r="Z1663" s="119" t="s">
        <v>79</v>
      </c>
      <c r="AA1663" s="168"/>
      <c r="AB1663" s="83" t="s">
        <v>80</v>
      </c>
      <c r="AC1663" s="166"/>
      <c r="AD1663" s="106" t="s">
        <v>3252</v>
      </c>
    </row>
    <row r="1664" spans="1:30" s="171" customFormat="1" ht="51">
      <c r="A1664" s="126"/>
      <c r="B1664" s="106" t="s">
        <v>3751</v>
      </c>
      <c r="C1664" s="172"/>
      <c r="D1664" s="106" t="s">
        <v>702</v>
      </c>
      <c r="E1664" s="126"/>
      <c r="F1664" s="83" t="s">
        <v>370</v>
      </c>
      <c r="G1664" s="126"/>
      <c r="H1664" s="26" t="s">
        <v>116</v>
      </c>
      <c r="I1664" s="126"/>
      <c r="J1664" s="83" t="s">
        <v>3443</v>
      </c>
      <c r="K1664" s="126"/>
      <c r="L1664" s="83" t="s">
        <v>737</v>
      </c>
      <c r="M1664" s="126"/>
      <c r="N1664" s="106" t="s">
        <v>96</v>
      </c>
      <c r="O1664" s="172"/>
      <c r="P1664" s="106" t="s">
        <v>3250</v>
      </c>
      <c r="Q1664" s="126"/>
      <c r="R1664" s="83" t="s">
        <v>77</v>
      </c>
      <c r="S1664" s="126"/>
      <c r="T1664" s="124" t="s">
        <v>3251</v>
      </c>
      <c r="U1664" s="166"/>
      <c r="V1664" s="83" t="s">
        <v>79</v>
      </c>
      <c r="W1664" s="166"/>
      <c r="X1664" s="83" t="s">
        <v>80</v>
      </c>
      <c r="Y1664" s="168"/>
      <c r="Z1664" s="119" t="s">
        <v>79</v>
      </c>
      <c r="AA1664" s="168"/>
      <c r="AB1664" s="83" t="s">
        <v>80</v>
      </c>
      <c r="AC1664" s="166"/>
      <c r="AD1664" s="106" t="s">
        <v>3252</v>
      </c>
    </row>
    <row r="1665" spans="1:31" s="171" customFormat="1" ht="51">
      <c r="A1665" s="126"/>
      <c r="B1665" s="106" t="s">
        <v>3752</v>
      </c>
      <c r="C1665" s="172"/>
      <c r="D1665" s="106" t="s">
        <v>71</v>
      </c>
      <c r="E1665" s="126"/>
      <c r="F1665" s="83" t="s">
        <v>71</v>
      </c>
      <c r="G1665" s="126"/>
      <c r="H1665" s="26" t="s">
        <v>116</v>
      </c>
      <c r="I1665" s="126"/>
      <c r="J1665" s="83" t="s">
        <v>3443</v>
      </c>
      <c r="K1665" s="126"/>
      <c r="L1665" s="83" t="s">
        <v>737</v>
      </c>
      <c r="M1665" s="126"/>
      <c r="N1665" s="106" t="s">
        <v>96</v>
      </c>
      <c r="O1665" s="172"/>
      <c r="P1665" s="106" t="s">
        <v>3250</v>
      </c>
      <c r="Q1665" s="126"/>
      <c r="R1665" s="83" t="s">
        <v>77</v>
      </c>
      <c r="S1665" s="126"/>
      <c r="T1665" s="124" t="s">
        <v>3251</v>
      </c>
      <c r="U1665" s="166"/>
      <c r="V1665" s="83" t="s">
        <v>79</v>
      </c>
      <c r="W1665" s="166"/>
      <c r="X1665" s="83" t="s">
        <v>80</v>
      </c>
      <c r="Y1665" s="168"/>
      <c r="Z1665" s="119" t="s">
        <v>79</v>
      </c>
      <c r="AA1665" s="168"/>
      <c r="AB1665" s="83" t="s">
        <v>80</v>
      </c>
      <c r="AC1665" s="166"/>
      <c r="AD1665" s="106" t="s">
        <v>3252</v>
      </c>
    </row>
    <row r="1666" spans="1:31" s="171" customFormat="1" ht="51">
      <c r="A1666" s="126"/>
      <c r="B1666" s="106" t="s">
        <v>3753</v>
      </c>
      <c r="C1666" s="172"/>
      <c r="D1666" s="106" t="s">
        <v>2428</v>
      </c>
      <c r="E1666" s="126"/>
      <c r="F1666" s="83" t="s">
        <v>123</v>
      </c>
      <c r="G1666" s="126"/>
      <c r="H1666" s="26" t="s">
        <v>116</v>
      </c>
      <c r="I1666" s="126"/>
      <c r="J1666" s="83" t="s">
        <v>3443</v>
      </c>
      <c r="K1666" s="126"/>
      <c r="L1666" s="83" t="s">
        <v>737</v>
      </c>
      <c r="M1666" s="126"/>
      <c r="N1666" s="106" t="s">
        <v>96</v>
      </c>
      <c r="O1666" s="172"/>
      <c r="P1666" s="106" t="s">
        <v>3250</v>
      </c>
      <c r="Q1666" s="126"/>
      <c r="R1666" s="83" t="s">
        <v>77</v>
      </c>
      <c r="S1666" s="126"/>
      <c r="T1666" s="124" t="s">
        <v>3251</v>
      </c>
      <c r="U1666" s="166"/>
      <c r="V1666" s="83" t="s">
        <v>79</v>
      </c>
      <c r="W1666" s="166"/>
      <c r="X1666" s="83" t="s">
        <v>80</v>
      </c>
      <c r="Y1666" s="168"/>
      <c r="Z1666" s="119" t="s">
        <v>79</v>
      </c>
      <c r="AA1666" s="168"/>
      <c r="AB1666" s="83" t="s">
        <v>80</v>
      </c>
      <c r="AC1666" s="166"/>
      <c r="AD1666" s="106" t="s">
        <v>3252</v>
      </c>
    </row>
    <row r="1667" spans="1:31" s="57" customFormat="1" ht="51">
      <c r="B1667" s="23" t="s">
        <v>3754</v>
      </c>
      <c r="D1667" s="23" t="s">
        <v>394</v>
      </c>
      <c r="F1667" s="23" t="s">
        <v>394</v>
      </c>
      <c r="H1667" s="23" t="s">
        <v>654</v>
      </c>
      <c r="J1667" s="23" t="s">
        <v>411</v>
      </c>
      <c r="L1667" s="23" t="s">
        <v>737</v>
      </c>
      <c r="N1667" s="23" t="s">
        <v>96</v>
      </c>
      <c r="P1667" s="106" t="s">
        <v>3250</v>
      </c>
      <c r="R1667" s="23" t="s">
        <v>77</v>
      </c>
      <c r="T1667" s="124" t="s">
        <v>3251</v>
      </c>
      <c r="U1667" s="184"/>
      <c r="V1667" s="83" t="s">
        <v>79</v>
      </c>
      <c r="W1667" s="166"/>
      <c r="X1667" s="83" t="s">
        <v>80</v>
      </c>
      <c r="Y1667" s="55"/>
      <c r="Z1667" s="119" t="s">
        <v>79</v>
      </c>
      <c r="AA1667" s="168"/>
      <c r="AB1667" s="83" t="s">
        <v>80</v>
      </c>
      <c r="AC1667" s="184"/>
      <c r="AD1667" s="106" t="s">
        <v>3252</v>
      </c>
      <c r="AE1667" s="171"/>
    </row>
    <row r="1668" spans="1:31" s="57" customFormat="1" ht="51">
      <c r="B1668" s="23" t="s">
        <v>3755</v>
      </c>
      <c r="D1668" s="23" t="s">
        <v>394</v>
      </c>
      <c r="F1668" s="23" t="s">
        <v>394</v>
      </c>
      <c r="H1668" s="23" t="s">
        <v>654</v>
      </c>
      <c r="J1668" s="23" t="s">
        <v>411</v>
      </c>
      <c r="L1668" s="23" t="s">
        <v>737</v>
      </c>
      <c r="N1668" s="23" t="s">
        <v>96</v>
      </c>
      <c r="P1668" s="106" t="s">
        <v>3250</v>
      </c>
      <c r="R1668" s="23" t="s">
        <v>77</v>
      </c>
      <c r="T1668" s="124" t="s">
        <v>3251</v>
      </c>
      <c r="U1668" s="184"/>
      <c r="V1668" s="83" t="s">
        <v>79</v>
      </c>
      <c r="W1668" s="166"/>
      <c r="X1668" s="83" t="s">
        <v>80</v>
      </c>
      <c r="Y1668" s="55"/>
      <c r="Z1668" s="119" t="s">
        <v>79</v>
      </c>
      <c r="AA1668" s="168"/>
      <c r="AB1668" s="83" t="s">
        <v>80</v>
      </c>
      <c r="AC1668" s="184"/>
      <c r="AD1668" s="106" t="s">
        <v>3252</v>
      </c>
      <c r="AE1668" s="171"/>
    </row>
    <row r="1669" spans="1:31" s="57" customFormat="1" ht="51">
      <c r="B1669" s="23" t="s">
        <v>3756</v>
      </c>
      <c r="D1669" s="23" t="s">
        <v>394</v>
      </c>
      <c r="F1669" s="23" t="s">
        <v>394</v>
      </c>
      <c r="H1669" s="23" t="s">
        <v>116</v>
      </c>
      <c r="J1669" s="23" t="s">
        <v>411</v>
      </c>
      <c r="L1669" s="23" t="s">
        <v>737</v>
      </c>
      <c r="N1669" s="23" t="s">
        <v>96</v>
      </c>
      <c r="P1669" s="106" t="s">
        <v>3250</v>
      </c>
      <c r="R1669" s="23" t="s">
        <v>77</v>
      </c>
      <c r="T1669" s="124" t="s">
        <v>3251</v>
      </c>
      <c r="U1669" s="184"/>
      <c r="V1669" s="83" t="s">
        <v>79</v>
      </c>
      <c r="W1669" s="166"/>
      <c r="X1669" s="83" t="s">
        <v>80</v>
      </c>
      <c r="Y1669" s="55"/>
      <c r="Z1669" s="119" t="s">
        <v>79</v>
      </c>
      <c r="AA1669" s="168"/>
      <c r="AB1669" s="83" t="s">
        <v>80</v>
      </c>
      <c r="AC1669" s="184"/>
      <c r="AD1669" s="106" t="s">
        <v>3252</v>
      </c>
    </row>
    <row r="1670" spans="1:31" s="57" customFormat="1" ht="51">
      <c r="B1670" s="23" t="s">
        <v>3757</v>
      </c>
      <c r="D1670" s="23" t="s">
        <v>394</v>
      </c>
      <c r="F1670" s="23" t="s">
        <v>394</v>
      </c>
      <c r="H1670" s="23" t="s">
        <v>116</v>
      </c>
      <c r="J1670" s="23" t="s">
        <v>411</v>
      </c>
      <c r="L1670" s="23" t="s">
        <v>737</v>
      </c>
      <c r="N1670" s="23" t="s">
        <v>96</v>
      </c>
      <c r="P1670" s="106" t="s">
        <v>3250</v>
      </c>
      <c r="R1670" s="23" t="s">
        <v>77</v>
      </c>
      <c r="T1670" s="124" t="s">
        <v>3251</v>
      </c>
      <c r="U1670" s="184"/>
      <c r="V1670" s="83" t="s">
        <v>79</v>
      </c>
      <c r="W1670" s="166"/>
      <c r="X1670" s="83" t="s">
        <v>80</v>
      </c>
      <c r="Y1670" s="55"/>
      <c r="Z1670" s="119" t="s">
        <v>79</v>
      </c>
      <c r="AA1670" s="168"/>
      <c r="AB1670" s="83" t="s">
        <v>80</v>
      </c>
      <c r="AC1670" s="184"/>
      <c r="AD1670" s="106" t="s">
        <v>3252</v>
      </c>
    </row>
    <row r="1671" spans="1:31" s="57" customFormat="1" ht="51">
      <c r="B1671" s="23" t="s">
        <v>3758</v>
      </c>
      <c r="D1671" s="23" t="s">
        <v>394</v>
      </c>
      <c r="F1671" s="23" t="s">
        <v>394</v>
      </c>
      <c r="H1671" s="23" t="s">
        <v>116</v>
      </c>
      <c r="J1671" s="23" t="s">
        <v>411</v>
      </c>
      <c r="L1671" s="23" t="s">
        <v>737</v>
      </c>
      <c r="N1671" s="23" t="s">
        <v>96</v>
      </c>
      <c r="P1671" s="106" t="s">
        <v>3250</v>
      </c>
      <c r="R1671" s="23" t="s">
        <v>77</v>
      </c>
      <c r="T1671" s="124" t="s">
        <v>3251</v>
      </c>
      <c r="U1671" s="184"/>
      <c r="V1671" s="83" t="s">
        <v>79</v>
      </c>
      <c r="W1671" s="166"/>
      <c r="X1671" s="83" t="s">
        <v>80</v>
      </c>
      <c r="Y1671" s="55"/>
      <c r="Z1671" s="119" t="s">
        <v>79</v>
      </c>
      <c r="AA1671" s="168"/>
      <c r="AB1671" s="83" t="s">
        <v>80</v>
      </c>
      <c r="AC1671" s="184"/>
      <c r="AD1671" s="106" t="s">
        <v>3252</v>
      </c>
    </row>
    <row r="1672" spans="1:31" s="57" customFormat="1" ht="51">
      <c r="B1672" s="23" t="s">
        <v>3759</v>
      </c>
      <c r="D1672" s="23" t="s">
        <v>394</v>
      </c>
      <c r="F1672" s="23" t="s">
        <v>394</v>
      </c>
      <c r="H1672" s="23" t="s">
        <v>116</v>
      </c>
      <c r="J1672" s="23" t="s">
        <v>411</v>
      </c>
      <c r="L1672" s="23" t="s">
        <v>737</v>
      </c>
      <c r="N1672" s="23" t="s">
        <v>96</v>
      </c>
      <c r="P1672" s="106" t="s">
        <v>3250</v>
      </c>
      <c r="R1672" s="23" t="s">
        <v>77</v>
      </c>
      <c r="T1672" s="124" t="s">
        <v>3251</v>
      </c>
      <c r="U1672" s="184"/>
      <c r="V1672" s="83" t="s">
        <v>79</v>
      </c>
      <c r="W1672" s="166"/>
      <c r="X1672" s="83" t="s">
        <v>80</v>
      </c>
      <c r="Y1672" s="55"/>
      <c r="Z1672" s="119" t="s">
        <v>79</v>
      </c>
      <c r="AA1672" s="168"/>
      <c r="AB1672" s="83" t="s">
        <v>80</v>
      </c>
      <c r="AC1672" s="184"/>
      <c r="AD1672" s="106" t="s">
        <v>3252</v>
      </c>
    </row>
    <row r="1673" spans="1:31" s="57" customFormat="1" ht="51">
      <c r="B1673" s="23" t="s">
        <v>3760</v>
      </c>
      <c r="D1673" s="23" t="s">
        <v>394</v>
      </c>
      <c r="F1673" s="23" t="s">
        <v>394</v>
      </c>
      <c r="H1673" s="23" t="s">
        <v>116</v>
      </c>
      <c r="J1673" s="23" t="s">
        <v>411</v>
      </c>
      <c r="L1673" s="23" t="s">
        <v>737</v>
      </c>
      <c r="N1673" s="23" t="s">
        <v>96</v>
      </c>
      <c r="P1673" s="106" t="s">
        <v>3250</v>
      </c>
      <c r="R1673" s="23" t="s">
        <v>77</v>
      </c>
      <c r="T1673" s="124" t="s">
        <v>3251</v>
      </c>
      <c r="U1673" s="184"/>
      <c r="V1673" s="83" t="s">
        <v>79</v>
      </c>
      <c r="W1673" s="166"/>
      <c r="X1673" s="83" t="s">
        <v>80</v>
      </c>
      <c r="Y1673" s="55"/>
      <c r="Z1673" s="119" t="s">
        <v>79</v>
      </c>
      <c r="AA1673" s="168"/>
      <c r="AB1673" s="83" t="s">
        <v>80</v>
      </c>
      <c r="AC1673" s="184"/>
      <c r="AD1673" s="106" t="s">
        <v>3252</v>
      </c>
    </row>
    <row r="1674" spans="1:31" s="57" customFormat="1" ht="51">
      <c r="B1674" s="23" t="s">
        <v>3761</v>
      </c>
      <c r="D1674" s="23" t="s">
        <v>394</v>
      </c>
      <c r="F1674" s="23" t="s">
        <v>394</v>
      </c>
      <c r="H1674" s="23" t="s">
        <v>116</v>
      </c>
      <c r="J1674" s="23" t="s">
        <v>411</v>
      </c>
      <c r="L1674" s="23" t="s">
        <v>737</v>
      </c>
      <c r="N1674" s="23" t="s">
        <v>96</v>
      </c>
      <c r="P1674" s="106" t="s">
        <v>3250</v>
      </c>
      <c r="R1674" s="23" t="s">
        <v>77</v>
      </c>
      <c r="T1674" s="124" t="s">
        <v>3251</v>
      </c>
      <c r="U1674" s="184"/>
      <c r="V1674" s="83" t="s">
        <v>79</v>
      </c>
      <c r="W1674" s="166"/>
      <c r="X1674" s="83" t="s">
        <v>80</v>
      </c>
      <c r="Y1674" s="55"/>
      <c r="Z1674" s="119" t="s">
        <v>79</v>
      </c>
      <c r="AA1674" s="168"/>
      <c r="AB1674" s="83" t="s">
        <v>80</v>
      </c>
      <c r="AC1674" s="184"/>
      <c r="AD1674" s="106" t="s">
        <v>3252</v>
      </c>
    </row>
    <row r="1675" spans="1:31" s="57" customFormat="1" ht="51">
      <c r="B1675" s="23" t="s">
        <v>3762</v>
      </c>
      <c r="D1675" s="23" t="s">
        <v>394</v>
      </c>
      <c r="F1675" s="23" t="s">
        <v>394</v>
      </c>
      <c r="H1675" s="23" t="s">
        <v>116</v>
      </c>
      <c r="J1675" s="23" t="s">
        <v>411</v>
      </c>
      <c r="L1675" s="23" t="s">
        <v>737</v>
      </c>
      <c r="N1675" s="23" t="s">
        <v>96</v>
      </c>
      <c r="P1675" s="106" t="s">
        <v>3250</v>
      </c>
      <c r="R1675" s="23" t="s">
        <v>77</v>
      </c>
      <c r="T1675" s="124" t="s">
        <v>3251</v>
      </c>
      <c r="U1675" s="184"/>
      <c r="V1675" s="83" t="s">
        <v>79</v>
      </c>
      <c r="W1675" s="166"/>
      <c r="X1675" s="83" t="s">
        <v>80</v>
      </c>
      <c r="Y1675" s="55"/>
      <c r="Z1675" s="119" t="s">
        <v>79</v>
      </c>
      <c r="AA1675" s="168"/>
      <c r="AB1675" s="83" t="s">
        <v>80</v>
      </c>
      <c r="AC1675" s="184"/>
      <c r="AD1675" s="106" t="s">
        <v>3252</v>
      </c>
    </row>
    <row r="1676" spans="1:31" s="57" customFormat="1" ht="51">
      <c r="B1676" s="23" t="s">
        <v>3763</v>
      </c>
      <c r="D1676" s="23" t="s">
        <v>394</v>
      </c>
      <c r="F1676" s="23" t="s">
        <v>394</v>
      </c>
      <c r="H1676" s="23" t="s">
        <v>116</v>
      </c>
      <c r="J1676" s="23" t="s">
        <v>411</v>
      </c>
      <c r="L1676" s="23" t="s">
        <v>737</v>
      </c>
      <c r="N1676" s="23" t="s">
        <v>96</v>
      </c>
      <c r="P1676" s="106" t="s">
        <v>3250</v>
      </c>
      <c r="R1676" s="23" t="s">
        <v>77</v>
      </c>
      <c r="T1676" s="124" t="s">
        <v>3251</v>
      </c>
      <c r="U1676" s="184"/>
      <c r="V1676" s="83" t="s">
        <v>79</v>
      </c>
      <c r="W1676" s="166"/>
      <c r="X1676" s="83" t="s">
        <v>80</v>
      </c>
      <c r="Y1676" s="55"/>
      <c r="Z1676" s="119" t="s">
        <v>79</v>
      </c>
      <c r="AA1676" s="168"/>
      <c r="AB1676" s="83" t="s">
        <v>80</v>
      </c>
      <c r="AC1676" s="184"/>
      <c r="AD1676" s="106" t="s">
        <v>3252</v>
      </c>
    </row>
    <row r="1677" spans="1:31" s="57" customFormat="1" ht="51">
      <c r="B1677" s="23" t="s">
        <v>3764</v>
      </c>
      <c r="D1677" s="23" t="s">
        <v>394</v>
      </c>
      <c r="F1677" s="23" t="s">
        <v>394</v>
      </c>
      <c r="H1677" s="23" t="s">
        <v>116</v>
      </c>
      <c r="J1677" s="23" t="s">
        <v>411</v>
      </c>
      <c r="L1677" s="23" t="s">
        <v>737</v>
      </c>
      <c r="N1677" s="23" t="s">
        <v>96</v>
      </c>
      <c r="P1677" s="106" t="s">
        <v>3250</v>
      </c>
      <c r="R1677" s="23" t="s">
        <v>77</v>
      </c>
      <c r="T1677" s="124" t="s">
        <v>3251</v>
      </c>
      <c r="U1677" s="184"/>
      <c r="V1677" s="83" t="s">
        <v>79</v>
      </c>
      <c r="W1677" s="166"/>
      <c r="X1677" s="83" t="s">
        <v>80</v>
      </c>
      <c r="Y1677" s="55"/>
      <c r="Z1677" s="119" t="s">
        <v>79</v>
      </c>
      <c r="AA1677" s="168"/>
      <c r="AB1677" s="83" t="s">
        <v>80</v>
      </c>
      <c r="AC1677" s="184"/>
      <c r="AD1677" s="106" t="s">
        <v>3252</v>
      </c>
    </row>
    <row r="1678" spans="1:31" s="57" customFormat="1" ht="51">
      <c r="B1678" s="23" t="s">
        <v>3765</v>
      </c>
      <c r="D1678" s="23" t="s">
        <v>394</v>
      </c>
      <c r="F1678" s="23" t="s">
        <v>394</v>
      </c>
      <c r="H1678" s="23" t="s">
        <v>116</v>
      </c>
      <c r="J1678" s="23" t="s">
        <v>411</v>
      </c>
      <c r="L1678" s="23" t="s">
        <v>737</v>
      </c>
      <c r="N1678" s="23" t="s">
        <v>96</v>
      </c>
      <c r="P1678" s="106" t="s">
        <v>3250</v>
      </c>
      <c r="R1678" s="23" t="s">
        <v>77</v>
      </c>
      <c r="T1678" s="124" t="s">
        <v>3251</v>
      </c>
      <c r="U1678" s="184"/>
      <c r="V1678" s="83" t="s">
        <v>79</v>
      </c>
      <c r="W1678" s="166"/>
      <c r="X1678" s="83" t="s">
        <v>80</v>
      </c>
      <c r="Y1678" s="55"/>
      <c r="Z1678" s="119" t="s">
        <v>79</v>
      </c>
      <c r="AA1678" s="168"/>
      <c r="AB1678" s="83" t="s">
        <v>80</v>
      </c>
      <c r="AC1678" s="184"/>
      <c r="AD1678" s="106" t="s">
        <v>3252</v>
      </c>
    </row>
    <row r="1679" spans="1:31" s="57" customFormat="1" ht="51">
      <c r="B1679" s="23" t="s">
        <v>3766</v>
      </c>
      <c r="D1679" s="23" t="s">
        <v>394</v>
      </c>
      <c r="F1679" s="23" t="s">
        <v>394</v>
      </c>
      <c r="H1679" s="23" t="s">
        <v>116</v>
      </c>
      <c r="J1679" s="23" t="s">
        <v>411</v>
      </c>
      <c r="L1679" s="23" t="s">
        <v>737</v>
      </c>
      <c r="N1679" s="23" t="s">
        <v>96</v>
      </c>
      <c r="P1679" s="106" t="s">
        <v>3250</v>
      </c>
      <c r="R1679" s="23" t="s">
        <v>77</v>
      </c>
      <c r="T1679" s="124" t="s">
        <v>3251</v>
      </c>
      <c r="U1679" s="184"/>
      <c r="V1679" s="83" t="s">
        <v>79</v>
      </c>
      <c r="W1679" s="166"/>
      <c r="X1679" s="83" t="s">
        <v>80</v>
      </c>
      <c r="Y1679" s="55"/>
      <c r="Z1679" s="119" t="s">
        <v>79</v>
      </c>
      <c r="AA1679" s="168"/>
      <c r="AB1679" s="83" t="s">
        <v>80</v>
      </c>
      <c r="AC1679" s="184"/>
      <c r="AD1679" s="106" t="s">
        <v>3252</v>
      </c>
    </row>
    <row r="1680" spans="1:31" s="57" customFormat="1" ht="51">
      <c r="B1680" s="23" t="s">
        <v>3767</v>
      </c>
      <c r="D1680" s="23" t="s">
        <v>394</v>
      </c>
      <c r="F1680" s="23" t="s">
        <v>394</v>
      </c>
      <c r="H1680" s="23" t="s">
        <v>116</v>
      </c>
      <c r="J1680" s="23" t="s">
        <v>411</v>
      </c>
      <c r="L1680" s="23" t="s">
        <v>737</v>
      </c>
      <c r="N1680" s="23" t="s">
        <v>96</v>
      </c>
      <c r="P1680" s="106" t="s">
        <v>3250</v>
      </c>
      <c r="R1680" s="23" t="s">
        <v>77</v>
      </c>
      <c r="T1680" s="124" t="s">
        <v>3251</v>
      </c>
      <c r="U1680" s="184"/>
      <c r="V1680" s="83" t="s">
        <v>79</v>
      </c>
      <c r="W1680" s="166"/>
      <c r="X1680" s="83" t="s">
        <v>80</v>
      </c>
      <c r="Y1680" s="55"/>
      <c r="Z1680" s="119" t="s">
        <v>79</v>
      </c>
      <c r="AA1680" s="168"/>
      <c r="AB1680" s="83" t="s">
        <v>80</v>
      </c>
      <c r="AC1680" s="184"/>
      <c r="AD1680" s="106" t="s">
        <v>3252</v>
      </c>
    </row>
    <row r="1681" spans="2:30" s="57" customFormat="1" ht="51">
      <c r="B1681" s="23" t="s">
        <v>3768</v>
      </c>
      <c r="D1681" s="23" t="s">
        <v>394</v>
      </c>
      <c r="F1681" s="23" t="s">
        <v>394</v>
      </c>
      <c r="H1681" s="23" t="s">
        <v>116</v>
      </c>
      <c r="J1681" s="23" t="s">
        <v>411</v>
      </c>
      <c r="L1681" s="23" t="s">
        <v>737</v>
      </c>
      <c r="N1681" s="23" t="s">
        <v>96</v>
      </c>
      <c r="P1681" s="106" t="s">
        <v>3250</v>
      </c>
      <c r="R1681" s="23" t="s">
        <v>77</v>
      </c>
      <c r="T1681" s="124" t="s">
        <v>3251</v>
      </c>
      <c r="U1681" s="184"/>
      <c r="V1681" s="83" t="s">
        <v>79</v>
      </c>
      <c r="W1681" s="166"/>
      <c r="X1681" s="83" t="s">
        <v>80</v>
      </c>
      <c r="Y1681" s="55"/>
      <c r="Z1681" s="119" t="s">
        <v>79</v>
      </c>
      <c r="AA1681" s="168"/>
      <c r="AB1681" s="83" t="s">
        <v>80</v>
      </c>
      <c r="AC1681" s="184"/>
      <c r="AD1681" s="106" t="s">
        <v>3252</v>
      </c>
    </row>
    <row r="1682" spans="2:30" s="57" customFormat="1" ht="51">
      <c r="B1682" s="23" t="s">
        <v>3769</v>
      </c>
      <c r="D1682" s="23" t="s">
        <v>394</v>
      </c>
      <c r="F1682" s="23" t="s">
        <v>394</v>
      </c>
      <c r="H1682" s="23" t="s">
        <v>116</v>
      </c>
      <c r="J1682" s="23" t="s">
        <v>411</v>
      </c>
      <c r="L1682" s="23" t="s">
        <v>737</v>
      </c>
      <c r="N1682" s="23" t="s">
        <v>96</v>
      </c>
      <c r="P1682" s="106" t="s">
        <v>3250</v>
      </c>
      <c r="R1682" s="23" t="s">
        <v>77</v>
      </c>
      <c r="T1682" s="124" t="s">
        <v>3251</v>
      </c>
      <c r="U1682" s="184"/>
      <c r="V1682" s="83" t="s">
        <v>79</v>
      </c>
      <c r="W1682" s="166"/>
      <c r="X1682" s="83" t="s">
        <v>80</v>
      </c>
      <c r="Y1682" s="55"/>
      <c r="Z1682" s="119" t="s">
        <v>79</v>
      </c>
      <c r="AA1682" s="168"/>
      <c r="AB1682" s="83" t="s">
        <v>80</v>
      </c>
      <c r="AC1682" s="184"/>
      <c r="AD1682" s="106" t="s">
        <v>3252</v>
      </c>
    </row>
    <row r="1683" spans="2:30" s="57" customFormat="1" ht="51">
      <c r="B1683" s="23" t="s">
        <v>3770</v>
      </c>
      <c r="D1683" s="23" t="s">
        <v>394</v>
      </c>
      <c r="F1683" s="23" t="s">
        <v>394</v>
      </c>
      <c r="H1683" s="23" t="s">
        <v>116</v>
      </c>
      <c r="J1683" s="23" t="s">
        <v>411</v>
      </c>
      <c r="L1683" s="23" t="s">
        <v>737</v>
      </c>
      <c r="N1683" s="23" t="s">
        <v>96</v>
      </c>
      <c r="P1683" s="106" t="s">
        <v>3250</v>
      </c>
      <c r="R1683" s="23" t="s">
        <v>77</v>
      </c>
      <c r="T1683" s="124" t="s">
        <v>3251</v>
      </c>
      <c r="U1683" s="184"/>
      <c r="V1683" s="83" t="s">
        <v>79</v>
      </c>
      <c r="W1683" s="166"/>
      <c r="X1683" s="83" t="s">
        <v>80</v>
      </c>
      <c r="Y1683" s="55"/>
      <c r="Z1683" s="119" t="s">
        <v>79</v>
      </c>
      <c r="AA1683" s="168"/>
      <c r="AB1683" s="83" t="s">
        <v>80</v>
      </c>
      <c r="AC1683" s="184"/>
      <c r="AD1683" s="106" t="s">
        <v>3252</v>
      </c>
    </row>
    <row r="1684" spans="2:30" s="57" customFormat="1" ht="51">
      <c r="B1684" s="23" t="s">
        <v>3771</v>
      </c>
      <c r="D1684" s="23" t="s">
        <v>394</v>
      </c>
      <c r="F1684" s="23" t="s">
        <v>394</v>
      </c>
      <c r="H1684" s="23" t="s">
        <v>116</v>
      </c>
      <c r="J1684" s="23" t="s">
        <v>411</v>
      </c>
      <c r="L1684" s="23" t="s">
        <v>737</v>
      </c>
      <c r="N1684" s="23" t="s">
        <v>96</v>
      </c>
      <c r="P1684" s="106" t="s">
        <v>3250</v>
      </c>
      <c r="R1684" s="23" t="s">
        <v>77</v>
      </c>
      <c r="T1684" s="124" t="s">
        <v>3251</v>
      </c>
      <c r="U1684" s="184"/>
      <c r="V1684" s="83" t="s">
        <v>79</v>
      </c>
      <c r="W1684" s="166"/>
      <c r="X1684" s="83" t="s">
        <v>80</v>
      </c>
      <c r="Y1684" s="55"/>
      <c r="Z1684" s="119" t="s">
        <v>79</v>
      </c>
      <c r="AA1684" s="168"/>
      <c r="AB1684" s="83" t="s">
        <v>80</v>
      </c>
      <c r="AC1684" s="184"/>
      <c r="AD1684" s="106" t="s">
        <v>3252</v>
      </c>
    </row>
    <row r="1685" spans="2:30" s="57" customFormat="1" ht="51">
      <c r="B1685" s="23" t="s">
        <v>3772</v>
      </c>
      <c r="D1685" s="23" t="s">
        <v>394</v>
      </c>
      <c r="F1685" s="23" t="s">
        <v>394</v>
      </c>
      <c r="H1685" s="23" t="s">
        <v>116</v>
      </c>
      <c r="J1685" s="23" t="s">
        <v>411</v>
      </c>
      <c r="L1685" s="23" t="s">
        <v>737</v>
      </c>
      <c r="N1685" s="23" t="s">
        <v>96</v>
      </c>
      <c r="P1685" s="106" t="s">
        <v>3250</v>
      </c>
      <c r="R1685" s="23" t="s">
        <v>77</v>
      </c>
      <c r="T1685" s="124" t="s">
        <v>3251</v>
      </c>
      <c r="U1685" s="184"/>
      <c r="V1685" s="83" t="s">
        <v>79</v>
      </c>
      <c r="W1685" s="166"/>
      <c r="X1685" s="83" t="s">
        <v>80</v>
      </c>
      <c r="Y1685" s="55"/>
      <c r="Z1685" s="119" t="s">
        <v>79</v>
      </c>
      <c r="AA1685" s="168"/>
      <c r="AB1685" s="83" t="s">
        <v>80</v>
      </c>
      <c r="AC1685" s="184"/>
      <c r="AD1685" s="106" t="s">
        <v>3252</v>
      </c>
    </row>
    <row r="1686" spans="2:30" s="57" customFormat="1" ht="51">
      <c r="B1686" s="23" t="s">
        <v>3773</v>
      </c>
      <c r="D1686" s="23" t="s">
        <v>394</v>
      </c>
      <c r="F1686" s="23" t="s">
        <v>394</v>
      </c>
      <c r="H1686" s="23" t="s">
        <v>116</v>
      </c>
      <c r="J1686" s="23" t="s">
        <v>411</v>
      </c>
      <c r="L1686" s="23" t="s">
        <v>737</v>
      </c>
      <c r="N1686" s="23" t="s">
        <v>96</v>
      </c>
      <c r="P1686" s="106" t="s">
        <v>3250</v>
      </c>
      <c r="R1686" s="23" t="s">
        <v>77</v>
      </c>
      <c r="T1686" s="124" t="s">
        <v>3251</v>
      </c>
      <c r="U1686" s="184"/>
      <c r="V1686" s="83" t="s">
        <v>79</v>
      </c>
      <c r="W1686" s="166"/>
      <c r="X1686" s="83" t="s">
        <v>80</v>
      </c>
      <c r="Y1686" s="55"/>
      <c r="Z1686" s="119" t="s">
        <v>79</v>
      </c>
      <c r="AA1686" s="168"/>
      <c r="AB1686" s="83" t="s">
        <v>80</v>
      </c>
      <c r="AC1686" s="184"/>
      <c r="AD1686" s="106" t="s">
        <v>3252</v>
      </c>
    </row>
    <row r="1687" spans="2:30" s="57" customFormat="1" ht="51">
      <c r="B1687" s="23" t="s">
        <v>3774</v>
      </c>
      <c r="D1687" s="23" t="s">
        <v>394</v>
      </c>
      <c r="F1687" s="23" t="s">
        <v>394</v>
      </c>
      <c r="H1687" s="23" t="s">
        <v>116</v>
      </c>
      <c r="J1687" s="23" t="s">
        <v>411</v>
      </c>
      <c r="L1687" s="23" t="s">
        <v>737</v>
      </c>
      <c r="N1687" s="23" t="s">
        <v>96</v>
      </c>
      <c r="P1687" s="106" t="s">
        <v>3250</v>
      </c>
      <c r="R1687" s="23" t="s">
        <v>77</v>
      </c>
      <c r="T1687" s="124" t="s">
        <v>3251</v>
      </c>
      <c r="U1687" s="184"/>
      <c r="V1687" s="83" t="s">
        <v>79</v>
      </c>
      <c r="W1687" s="166"/>
      <c r="X1687" s="83" t="s">
        <v>80</v>
      </c>
      <c r="Y1687" s="55"/>
      <c r="Z1687" s="119" t="s">
        <v>79</v>
      </c>
      <c r="AA1687" s="168"/>
      <c r="AB1687" s="83" t="s">
        <v>80</v>
      </c>
      <c r="AC1687" s="184"/>
      <c r="AD1687" s="106" t="s">
        <v>3252</v>
      </c>
    </row>
    <row r="1688" spans="2:30" s="57" customFormat="1" ht="51">
      <c r="B1688" s="23" t="s">
        <v>3775</v>
      </c>
      <c r="D1688" s="23" t="s">
        <v>394</v>
      </c>
      <c r="F1688" s="23" t="s">
        <v>394</v>
      </c>
      <c r="H1688" s="23" t="s">
        <v>116</v>
      </c>
      <c r="J1688" s="23" t="s">
        <v>411</v>
      </c>
      <c r="L1688" s="23" t="s">
        <v>737</v>
      </c>
      <c r="N1688" s="23" t="s">
        <v>96</v>
      </c>
      <c r="P1688" s="106" t="s">
        <v>3250</v>
      </c>
      <c r="R1688" s="23" t="s">
        <v>77</v>
      </c>
      <c r="T1688" s="124" t="s">
        <v>3251</v>
      </c>
      <c r="U1688" s="184"/>
      <c r="V1688" s="83" t="s">
        <v>79</v>
      </c>
      <c r="W1688" s="166"/>
      <c r="X1688" s="83" t="s">
        <v>80</v>
      </c>
      <c r="Y1688" s="55"/>
      <c r="Z1688" s="119" t="s">
        <v>79</v>
      </c>
      <c r="AA1688" s="168"/>
      <c r="AB1688" s="83" t="s">
        <v>80</v>
      </c>
      <c r="AC1688" s="184"/>
      <c r="AD1688" s="106" t="s">
        <v>3252</v>
      </c>
    </row>
    <row r="1689" spans="2:30" s="57" customFormat="1" ht="51">
      <c r="B1689" s="23" t="s">
        <v>3776</v>
      </c>
      <c r="D1689" s="23" t="s">
        <v>394</v>
      </c>
      <c r="F1689" s="23" t="s">
        <v>394</v>
      </c>
      <c r="H1689" s="23" t="s">
        <v>116</v>
      </c>
      <c r="J1689" s="23" t="s">
        <v>411</v>
      </c>
      <c r="L1689" s="23" t="s">
        <v>737</v>
      </c>
      <c r="N1689" s="23" t="s">
        <v>96</v>
      </c>
      <c r="P1689" s="106" t="s">
        <v>3250</v>
      </c>
      <c r="R1689" s="23" t="s">
        <v>77</v>
      </c>
      <c r="T1689" s="124" t="s">
        <v>3251</v>
      </c>
      <c r="U1689" s="184"/>
      <c r="V1689" s="83" t="s">
        <v>79</v>
      </c>
      <c r="W1689" s="166"/>
      <c r="X1689" s="83" t="s">
        <v>80</v>
      </c>
      <c r="Y1689" s="55"/>
      <c r="Z1689" s="119" t="s">
        <v>79</v>
      </c>
      <c r="AA1689" s="168"/>
      <c r="AB1689" s="83" t="s">
        <v>80</v>
      </c>
      <c r="AC1689" s="184"/>
      <c r="AD1689" s="106" t="s">
        <v>3252</v>
      </c>
    </row>
    <row r="1690" spans="2:30" s="57" customFormat="1" ht="51">
      <c r="B1690" s="23" t="s">
        <v>3777</v>
      </c>
      <c r="D1690" s="23" t="s">
        <v>394</v>
      </c>
      <c r="F1690" s="23" t="s">
        <v>394</v>
      </c>
      <c r="H1690" s="23" t="s">
        <v>116</v>
      </c>
      <c r="J1690" s="23" t="s">
        <v>411</v>
      </c>
      <c r="L1690" s="23" t="s">
        <v>737</v>
      </c>
      <c r="N1690" s="23" t="s">
        <v>96</v>
      </c>
      <c r="P1690" s="106" t="s">
        <v>3250</v>
      </c>
      <c r="R1690" s="23" t="s">
        <v>77</v>
      </c>
      <c r="T1690" s="124" t="s">
        <v>3251</v>
      </c>
      <c r="U1690" s="184"/>
      <c r="V1690" s="83" t="s">
        <v>79</v>
      </c>
      <c r="W1690" s="166"/>
      <c r="X1690" s="83" t="s">
        <v>80</v>
      </c>
      <c r="Y1690" s="55"/>
      <c r="Z1690" s="119" t="s">
        <v>79</v>
      </c>
      <c r="AA1690" s="168"/>
      <c r="AB1690" s="83" t="s">
        <v>80</v>
      </c>
      <c r="AC1690" s="184"/>
      <c r="AD1690" s="106" t="s">
        <v>3252</v>
      </c>
    </row>
    <row r="1691" spans="2:30" s="57" customFormat="1" ht="51">
      <c r="B1691" s="23" t="s">
        <v>3778</v>
      </c>
      <c r="D1691" s="23" t="s">
        <v>394</v>
      </c>
      <c r="F1691" s="23" t="s">
        <v>394</v>
      </c>
      <c r="H1691" s="23" t="s">
        <v>116</v>
      </c>
      <c r="J1691" s="23" t="s">
        <v>411</v>
      </c>
      <c r="L1691" s="23" t="s">
        <v>737</v>
      </c>
      <c r="N1691" s="23" t="s">
        <v>96</v>
      </c>
      <c r="P1691" s="106" t="s">
        <v>3250</v>
      </c>
      <c r="R1691" s="23" t="s">
        <v>77</v>
      </c>
      <c r="T1691" s="124" t="s">
        <v>3251</v>
      </c>
      <c r="U1691" s="184"/>
      <c r="V1691" s="83" t="s">
        <v>79</v>
      </c>
      <c r="W1691" s="166"/>
      <c r="X1691" s="83" t="s">
        <v>80</v>
      </c>
      <c r="Y1691" s="55"/>
      <c r="Z1691" s="119" t="s">
        <v>79</v>
      </c>
      <c r="AA1691" s="168"/>
      <c r="AB1691" s="83" t="s">
        <v>80</v>
      </c>
      <c r="AC1691" s="184"/>
      <c r="AD1691" s="106" t="s">
        <v>3252</v>
      </c>
    </row>
    <row r="1692" spans="2:30" s="57" customFormat="1" ht="51">
      <c r="B1692" s="23" t="s">
        <v>3779</v>
      </c>
      <c r="D1692" s="23" t="s">
        <v>394</v>
      </c>
      <c r="F1692" s="23" t="s">
        <v>394</v>
      </c>
      <c r="H1692" s="23" t="s">
        <v>116</v>
      </c>
      <c r="J1692" s="23" t="s">
        <v>411</v>
      </c>
      <c r="L1692" s="23" t="s">
        <v>737</v>
      </c>
      <c r="N1692" s="23" t="s">
        <v>96</v>
      </c>
      <c r="P1692" s="106" t="s">
        <v>3250</v>
      </c>
      <c r="R1692" s="23" t="s">
        <v>77</v>
      </c>
      <c r="T1692" s="124" t="s">
        <v>3251</v>
      </c>
      <c r="U1692" s="184"/>
      <c r="V1692" s="83" t="s">
        <v>79</v>
      </c>
      <c r="W1692" s="166"/>
      <c r="X1692" s="83" t="s">
        <v>80</v>
      </c>
      <c r="Y1692" s="55"/>
      <c r="Z1692" s="119" t="s">
        <v>79</v>
      </c>
      <c r="AA1692" s="168"/>
      <c r="AB1692" s="83" t="s">
        <v>80</v>
      </c>
      <c r="AC1692" s="184"/>
      <c r="AD1692" s="106" t="s">
        <v>3252</v>
      </c>
    </row>
    <row r="1693" spans="2:30" s="57" customFormat="1" ht="51">
      <c r="B1693" s="23" t="s">
        <v>3780</v>
      </c>
      <c r="D1693" s="23" t="s">
        <v>394</v>
      </c>
      <c r="F1693" s="23" t="s">
        <v>394</v>
      </c>
      <c r="H1693" s="23" t="s">
        <v>116</v>
      </c>
      <c r="J1693" s="23" t="s">
        <v>411</v>
      </c>
      <c r="L1693" s="23" t="s">
        <v>737</v>
      </c>
      <c r="N1693" s="23" t="s">
        <v>96</v>
      </c>
      <c r="P1693" s="106" t="s">
        <v>3250</v>
      </c>
      <c r="R1693" s="23" t="s">
        <v>77</v>
      </c>
      <c r="T1693" s="124" t="s">
        <v>3251</v>
      </c>
      <c r="U1693" s="184"/>
      <c r="V1693" s="83" t="s">
        <v>79</v>
      </c>
      <c r="W1693" s="166"/>
      <c r="X1693" s="83" t="s">
        <v>80</v>
      </c>
      <c r="Y1693" s="55"/>
      <c r="Z1693" s="119" t="s">
        <v>79</v>
      </c>
      <c r="AA1693" s="168"/>
      <c r="AB1693" s="83" t="s">
        <v>80</v>
      </c>
      <c r="AC1693" s="184"/>
      <c r="AD1693" s="106" t="s">
        <v>3252</v>
      </c>
    </row>
    <row r="1694" spans="2:30" s="57" customFormat="1" ht="51">
      <c r="B1694" s="23" t="s">
        <v>3781</v>
      </c>
      <c r="D1694" s="23" t="s">
        <v>394</v>
      </c>
      <c r="F1694" s="23" t="s">
        <v>394</v>
      </c>
      <c r="H1694" s="23" t="s">
        <v>116</v>
      </c>
      <c r="J1694" s="23" t="s">
        <v>411</v>
      </c>
      <c r="L1694" s="23" t="s">
        <v>737</v>
      </c>
      <c r="N1694" s="23" t="s">
        <v>96</v>
      </c>
      <c r="P1694" s="106" t="s">
        <v>3250</v>
      </c>
      <c r="R1694" s="23" t="s">
        <v>77</v>
      </c>
      <c r="T1694" s="124" t="s">
        <v>3251</v>
      </c>
      <c r="U1694" s="184"/>
      <c r="V1694" s="83" t="s">
        <v>79</v>
      </c>
      <c r="W1694" s="166"/>
      <c r="X1694" s="83" t="s">
        <v>80</v>
      </c>
      <c r="Y1694" s="55"/>
      <c r="Z1694" s="119" t="s">
        <v>79</v>
      </c>
      <c r="AA1694" s="168"/>
      <c r="AB1694" s="83" t="s">
        <v>80</v>
      </c>
      <c r="AC1694" s="184"/>
      <c r="AD1694" s="106" t="s">
        <v>3252</v>
      </c>
    </row>
    <row r="1695" spans="2:30" s="57" customFormat="1" ht="51">
      <c r="B1695" s="23" t="s">
        <v>3782</v>
      </c>
      <c r="D1695" s="23" t="s">
        <v>394</v>
      </c>
      <c r="F1695" s="23" t="s">
        <v>394</v>
      </c>
      <c r="H1695" s="23" t="s">
        <v>116</v>
      </c>
      <c r="J1695" s="23" t="s">
        <v>411</v>
      </c>
      <c r="L1695" s="23" t="s">
        <v>737</v>
      </c>
      <c r="N1695" s="23" t="s">
        <v>96</v>
      </c>
      <c r="P1695" s="106" t="s">
        <v>3250</v>
      </c>
      <c r="R1695" s="23" t="s">
        <v>77</v>
      </c>
      <c r="T1695" s="124" t="s">
        <v>3251</v>
      </c>
      <c r="U1695" s="184"/>
      <c r="V1695" s="83" t="s">
        <v>79</v>
      </c>
      <c r="W1695" s="166"/>
      <c r="X1695" s="83" t="s">
        <v>80</v>
      </c>
      <c r="Y1695" s="55"/>
      <c r="Z1695" s="119" t="s">
        <v>79</v>
      </c>
      <c r="AA1695" s="168"/>
      <c r="AB1695" s="83" t="s">
        <v>80</v>
      </c>
      <c r="AC1695" s="184"/>
      <c r="AD1695" s="106" t="s">
        <v>3252</v>
      </c>
    </row>
    <row r="1696" spans="2:30" s="57" customFormat="1" ht="51">
      <c r="B1696" s="23" t="s">
        <v>3783</v>
      </c>
      <c r="D1696" s="23" t="s">
        <v>394</v>
      </c>
      <c r="F1696" s="23" t="s">
        <v>394</v>
      </c>
      <c r="H1696" s="23" t="s">
        <v>116</v>
      </c>
      <c r="J1696" s="23" t="s">
        <v>411</v>
      </c>
      <c r="L1696" s="23" t="s">
        <v>737</v>
      </c>
      <c r="N1696" s="23" t="s">
        <v>96</v>
      </c>
      <c r="P1696" s="106" t="s">
        <v>3250</v>
      </c>
      <c r="R1696" s="23" t="s">
        <v>77</v>
      </c>
      <c r="T1696" s="124" t="s">
        <v>3251</v>
      </c>
      <c r="U1696" s="184"/>
      <c r="V1696" s="83" t="s">
        <v>79</v>
      </c>
      <c r="W1696" s="166"/>
      <c r="X1696" s="83" t="s">
        <v>80</v>
      </c>
      <c r="Y1696" s="55"/>
      <c r="Z1696" s="119" t="s">
        <v>79</v>
      </c>
      <c r="AA1696" s="168"/>
      <c r="AB1696" s="83" t="s">
        <v>80</v>
      </c>
      <c r="AC1696" s="184"/>
      <c r="AD1696" s="106" t="s">
        <v>3252</v>
      </c>
    </row>
    <row r="1697" spans="2:30" s="57" customFormat="1" ht="51">
      <c r="B1697" s="23" t="s">
        <v>3784</v>
      </c>
      <c r="D1697" s="23" t="s">
        <v>394</v>
      </c>
      <c r="F1697" s="23" t="s">
        <v>394</v>
      </c>
      <c r="H1697" s="23" t="s">
        <v>116</v>
      </c>
      <c r="J1697" s="23" t="s">
        <v>411</v>
      </c>
      <c r="L1697" s="23" t="s">
        <v>737</v>
      </c>
      <c r="N1697" s="23" t="s">
        <v>96</v>
      </c>
      <c r="P1697" s="106" t="s">
        <v>3250</v>
      </c>
      <c r="R1697" s="23" t="s">
        <v>77</v>
      </c>
      <c r="T1697" s="124" t="s">
        <v>3251</v>
      </c>
      <c r="U1697" s="184"/>
      <c r="V1697" s="83" t="s">
        <v>79</v>
      </c>
      <c r="W1697" s="166"/>
      <c r="X1697" s="83" t="s">
        <v>80</v>
      </c>
      <c r="Y1697" s="55"/>
      <c r="Z1697" s="119" t="s">
        <v>79</v>
      </c>
      <c r="AA1697" s="168"/>
      <c r="AB1697" s="83" t="s">
        <v>80</v>
      </c>
      <c r="AC1697" s="184"/>
      <c r="AD1697" s="106" t="s">
        <v>3252</v>
      </c>
    </row>
    <row r="1698" spans="2:30" s="57" customFormat="1" ht="51">
      <c r="B1698" s="23" t="s">
        <v>3785</v>
      </c>
      <c r="D1698" s="23" t="s">
        <v>394</v>
      </c>
      <c r="F1698" s="23" t="s">
        <v>394</v>
      </c>
      <c r="H1698" s="23" t="s">
        <v>116</v>
      </c>
      <c r="J1698" s="23" t="s">
        <v>411</v>
      </c>
      <c r="L1698" s="23" t="s">
        <v>737</v>
      </c>
      <c r="N1698" s="23" t="s">
        <v>96</v>
      </c>
      <c r="P1698" s="106" t="s">
        <v>3250</v>
      </c>
      <c r="R1698" s="23" t="s">
        <v>77</v>
      </c>
      <c r="T1698" s="124" t="s">
        <v>3251</v>
      </c>
      <c r="U1698" s="184"/>
      <c r="V1698" s="83" t="s">
        <v>79</v>
      </c>
      <c r="W1698" s="166"/>
      <c r="X1698" s="83" t="s">
        <v>80</v>
      </c>
      <c r="Y1698" s="55"/>
      <c r="Z1698" s="119" t="s">
        <v>79</v>
      </c>
      <c r="AA1698" s="168"/>
      <c r="AB1698" s="83" t="s">
        <v>80</v>
      </c>
      <c r="AC1698" s="184"/>
      <c r="AD1698" s="106" t="s">
        <v>3252</v>
      </c>
    </row>
    <row r="1699" spans="2:30" s="57" customFormat="1" ht="51">
      <c r="B1699" s="23" t="s">
        <v>3786</v>
      </c>
      <c r="D1699" s="23" t="s">
        <v>362</v>
      </c>
      <c r="F1699" s="23" t="s">
        <v>363</v>
      </c>
      <c r="H1699" s="23" t="s">
        <v>116</v>
      </c>
      <c r="J1699" s="23" t="s">
        <v>411</v>
      </c>
      <c r="L1699" s="23" t="s">
        <v>737</v>
      </c>
      <c r="N1699" s="23" t="s">
        <v>96</v>
      </c>
      <c r="P1699" s="106" t="s">
        <v>3250</v>
      </c>
      <c r="R1699" s="23" t="s">
        <v>77</v>
      </c>
      <c r="T1699" s="124" t="s">
        <v>3251</v>
      </c>
      <c r="U1699" s="184"/>
      <c r="V1699" s="83" t="s">
        <v>79</v>
      </c>
      <c r="W1699" s="166"/>
      <c r="X1699" s="83" t="s">
        <v>80</v>
      </c>
      <c r="Y1699" s="55"/>
      <c r="Z1699" s="119" t="s">
        <v>79</v>
      </c>
      <c r="AA1699" s="168"/>
      <c r="AB1699" s="83" t="s">
        <v>80</v>
      </c>
      <c r="AC1699" s="184"/>
      <c r="AD1699" s="106" t="s">
        <v>3252</v>
      </c>
    </row>
    <row r="1700" spans="2:30" s="57" customFormat="1" ht="51">
      <c r="B1700" s="23" t="s">
        <v>3787</v>
      </c>
      <c r="D1700" s="23" t="s">
        <v>362</v>
      </c>
      <c r="F1700" s="23" t="s">
        <v>363</v>
      </c>
      <c r="H1700" s="23" t="s">
        <v>116</v>
      </c>
      <c r="J1700" s="23" t="s">
        <v>411</v>
      </c>
      <c r="L1700" s="23" t="s">
        <v>737</v>
      </c>
      <c r="N1700" s="23" t="s">
        <v>96</v>
      </c>
      <c r="P1700" s="106" t="s">
        <v>3250</v>
      </c>
      <c r="R1700" s="23" t="s">
        <v>77</v>
      </c>
      <c r="T1700" s="124" t="s">
        <v>3251</v>
      </c>
      <c r="U1700" s="184"/>
      <c r="V1700" s="83" t="s">
        <v>79</v>
      </c>
      <c r="W1700" s="166"/>
      <c r="X1700" s="83" t="s">
        <v>80</v>
      </c>
      <c r="Y1700" s="55"/>
      <c r="Z1700" s="119" t="s">
        <v>79</v>
      </c>
      <c r="AA1700" s="168"/>
      <c r="AB1700" s="83" t="s">
        <v>80</v>
      </c>
      <c r="AC1700" s="184"/>
      <c r="AD1700" s="106" t="s">
        <v>3252</v>
      </c>
    </row>
    <row r="1701" spans="2:30" s="57" customFormat="1" ht="51">
      <c r="B1701" s="23" t="s">
        <v>3788</v>
      </c>
      <c r="D1701" s="23" t="s">
        <v>2480</v>
      </c>
      <c r="F1701" s="23" t="s">
        <v>363</v>
      </c>
      <c r="H1701" s="23" t="s">
        <v>116</v>
      </c>
      <c r="J1701" s="23" t="s">
        <v>411</v>
      </c>
      <c r="L1701" s="23" t="s">
        <v>737</v>
      </c>
      <c r="N1701" s="23" t="s">
        <v>96</v>
      </c>
      <c r="P1701" s="106" t="s">
        <v>3250</v>
      </c>
      <c r="R1701" s="23" t="s">
        <v>77</v>
      </c>
      <c r="T1701" s="124" t="s">
        <v>3251</v>
      </c>
      <c r="U1701" s="184"/>
      <c r="V1701" s="83" t="s">
        <v>79</v>
      </c>
      <c r="W1701" s="166"/>
      <c r="X1701" s="83" t="s">
        <v>80</v>
      </c>
      <c r="Y1701" s="55"/>
      <c r="Z1701" s="119" t="s">
        <v>79</v>
      </c>
      <c r="AA1701" s="168"/>
      <c r="AB1701" s="83" t="s">
        <v>80</v>
      </c>
      <c r="AC1701" s="184"/>
      <c r="AD1701" s="106" t="s">
        <v>3252</v>
      </c>
    </row>
    <row r="1702" spans="2:30" s="57" customFormat="1" ht="51">
      <c r="B1702" s="23" t="s">
        <v>3789</v>
      </c>
      <c r="D1702" s="23" t="s">
        <v>362</v>
      </c>
      <c r="F1702" s="23" t="s">
        <v>363</v>
      </c>
      <c r="H1702" s="23" t="s">
        <v>116</v>
      </c>
      <c r="J1702" s="23" t="s">
        <v>411</v>
      </c>
      <c r="L1702" s="23" t="s">
        <v>737</v>
      </c>
      <c r="N1702" s="23" t="s">
        <v>96</v>
      </c>
      <c r="P1702" s="106" t="s">
        <v>3250</v>
      </c>
      <c r="R1702" s="23" t="s">
        <v>77</v>
      </c>
      <c r="T1702" s="124" t="s">
        <v>3251</v>
      </c>
      <c r="U1702" s="184"/>
      <c r="V1702" s="83" t="s">
        <v>79</v>
      </c>
      <c r="W1702" s="166"/>
      <c r="X1702" s="83" t="s">
        <v>80</v>
      </c>
      <c r="Y1702" s="55"/>
      <c r="Z1702" s="119" t="s">
        <v>79</v>
      </c>
      <c r="AA1702" s="168"/>
      <c r="AB1702" s="83" t="s">
        <v>80</v>
      </c>
      <c r="AC1702" s="184"/>
      <c r="AD1702" s="106" t="s">
        <v>3252</v>
      </c>
    </row>
    <row r="1703" spans="2:30" s="57" customFormat="1" ht="51">
      <c r="B1703" s="23" t="s">
        <v>3790</v>
      </c>
      <c r="D1703" s="23" t="s">
        <v>3605</v>
      </c>
      <c r="F1703" s="23" t="s">
        <v>254</v>
      </c>
      <c r="H1703" s="23" t="s">
        <v>654</v>
      </c>
      <c r="J1703" s="23" t="s">
        <v>411</v>
      </c>
      <c r="L1703" s="23" t="s">
        <v>737</v>
      </c>
      <c r="N1703" s="23" t="s">
        <v>96</v>
      </c>
      <c r="P1703" s="106" t="s">
        <v>3250</v>
      </c>
      <c r="R1703" s="23" t="s">
        <v>77</v>
      </c>
      <c r="T1703" s="124" t="s">
        <v>3251</v>
      </c>
      <c r="U1703" s="184"/>
      <c r="V1703" s="83" t="s">
        <v>79</v>
      </c>
      <c r="W1703" s="166"/>
      <c r="X1703" s="83" t="s">
        <v>80</v>
      </c>
      <c r="Y1703" s="55"/>
      <c r="Z1703" s="119" t="s">
        <v>79</v>
      </c>
      <c r="AA1703" s="168"/>
      <c r="AB1703" s="83" t="s">
        <v>80</v>
      </c>
      <c r="AC1703" s="184"/>
      <c r="AD1703" s="106" t="s">
        <v>3252</v>
      </c>
    </row>
    <row r="1704" spans="2:30" s="57" customFormat="1" ht="51">
      <c r="B1704" s="23" t="s">
        <v>3791</v>
      </c>
      <c r="D1704" s="23" t="s">
        <v>2418</v>
      </c>
      <c r="F1704" s="23" t="s">
        <v>254</v>
      </c>
      <c r="H1704" s="23" t="s">
        <v>116</v>
      </c>
      <c r="J1704" s="23" t="s">
        <v>411</v>
      </c>
      <c r="L1704" s="23" t="s">
        <v>737</v>
      </c>
      <c r="N1704" s="23" t="s">
        <v>96</v>
      </c>
      <c r="P1704" s="106" t="s">
        <v>3250</v>
      </c>
      <c r="R1704" s="23" t="s">
        <v>77</v>
      </c>
      <c r="T1704" s="124" t="s">
        <v>3251</v>
      </c>
      <c r="U1704" s="184"/>
      <c r="V1704" s="83" t="s">
        <v>79</v>
      </c>
      <c r="W1704" s="166"/>
      <c r="X1704" s="83" t="s">
        <v>80</v>
      </c>
      <c r="Y1704" s="55"/>
      <c r="Z1704" s="119" t="s">
        <v>79</v>
      </c>
      <c r="AA1704" s="168"/>
      <c r="AB1704" s="83" t="s">
        <v>80</v>
      </c>
      <c r="AC1704" s="184"/>
      <c r="AD1704" s="106" t="s">
        <v>3252</v>
      </c>
    </row>
    <row r="1705" spans="2:30" s="57" customFormat="1" ht="51">
      <c r="B1705" s="23" t="s">
        <v>3792</v>
      </c>
      <c r="D1705" s="23" t="s">
        <v>1271</v>
      </c>
      <c r="F1705" s="23" t="s">
        <v>254</v>
      </c>
      <c r="H1705" s="23" t="s">
        <v>116</v>
      </c>
      <c r="J1705" s="23" t="s">
        <v>411</v>
      </c>
      <c r="L1705" s="23" t="s">
        <v>737</v>
      </c>
      <c r="N1705" s="23" t="s">
        <v>96</v>
      </c>
      <c r="P1705" s="106" t="s">
        <v>3250</v>
      </c>
      <c r="R1705" s="23" t="s">
        <v>77</v>
      </c>
      <c r="T1705" s="124" t="s">
        <v>3251</v>
      </c>
      <c r="U1705" s="184"/>
      <c r="V1705" s="83" t="s">
        <v>79</v>
      </c>
      <c r="W1705" s="166"/>
      <c r="X1705" s="83" t="s">
        <v>80</v>
      </c>
      <c r="Y1705" s="55"/>
      <c r="Z1705" s="119" t="s">
        <v>79</v>
      </c>
      <c r="AA1705" s="168"/>
      <c r="AB1705" s="83" t="s">
        <v>80</v>
      </c>
      <c r="AC1705" s="184"/>
      <c r="AD1705" s="106" t="s">
        <v>3252</v>
      </c>
    </row>
    <row r="1706" spans="2:30" s="57" customFormat="1" ht="51">
      <c r="B1706" s="23" t="s">
        <v>3793</v>
      </c>
      <c r="D1706" s="23" t="s">
        <v>3794</v>
      </c>
      <c r="F1706" s="23" t="s">
        <v>254</v>
      </c>
      <c r="H1706" s="23" t="s">
        <v>116</v>
      </c>
      <c r="J1706" s="23" t="s">
        <v>411</v>
      </c>
      <c r="L1706" s="23" t="s">
        <v>737</v>
      </c>
      <c r="N1706" s="23" t="s">
        <v>96</v>
      </c>
      <c r="P1706" s="106" t="s">
        <v>3250</v>
      </c>
      <c r="R1706" s="23" t="s">
        <v>77</v>
      </c>
      <c r="T1706" s="124" t="s">
        <v>3251</v>
      </c>
      <c r="U1706" s="184"/>
      <c r="V1706" s="83" t="s">
        <v>79</v>
      </c>
      <c r="W1706" s="166"/>
      <c r="X1706" s="83" t="s">
        <v>80</v>
      </c>
      <c r="Y1706" s="55"/>
      <c r="Z1706" s="119" t="s">
        <v>79</v>
      </c>
      <c r="AA1706" s="168"/>
      <c r="AB1706" s="83" t="s">
        <v>80</v>
      </c>
      <c r="AC1706" s="184"/>
      <c r="AD1706" s="106" t="s">
        <v>3252</v>
      </c>
    </row>
    <row r="1707" spans="2:30" s="57" customFormat="1" ht="51">
      <c r="B1707" s="23" t="s">
        <v>3795</v>
      </c>
      <c r="D1707" s="23" t="s">
        <v>1175</v>
      </c>
      <c r="F1707" s="23" t="s">
        <v>254</v>
      </c>
      <c r="H1707" s="23" t="s">
        <v>116</v>
      </c>
      <c r="J1707" s="23" t="s">
        <v>411</v>
      </c>
      <c r="L1707" s="23" t="s">
        <v>737</v>
      </c>
      <c r="N1707" s="23" t="s">
        <v>96</v>
      </c>
      <c r="P1707" s="106" t="s">
        <v>3250</v>
      </c>
      <c r="R1707" s="23" t="s">
        <v>77</v>
      </c>
      <c r="T1707" s="124" t="s">
        <v>3251</v>
      </c>
      <c r="U1707" s="184"/>
      <c r="V1707" s="83" t="s">
        <v>79</v>
      </c>
      <c r="W1707" s="166"/>
      <c r="X1707" s="83" t="s">
        <v>80</v>
      </c>
      <c r="Y1707" s="55"/>
      <c r="Z1707" s="119" t="s">
        <v>79</v>
      </c>
      <c r="AA1707" s="168"/>
      <c r="AB1707" s="83" t="s">
        <v>80</v>
      </c>
      <c r="AC1707" s="184"/>
      <c r="AD1707" s="106" t="s">
        <v>3252</v>
      </c>
    </row>
    <row r="1708" spans="2:30" s="57" customFormat="1" ht="51">
      <c r="B1708" s="23" t="s">
        <v>3796</v>
      </c>
      <c r="D1708" s="23" t="s">
        <v>2443</v>
      </c>
      <c r="F1708" s="23" t="s">
        <v>254</v>
      </c>
      <c r="H1708" s="23" t="s">
        <v>654</v>
      </c>
      <c r="J1708" s="23" t="s">
        <v>411</v>
      </c>
      <c r="L1708" s="23" t="s">
        <v>737</v>
      </c>
      <c r="N1708" s="23" t="s">
        <v>96</v>
      </c>
      <c r="P1708" s="106" t="s">
        <v>3250</v>
      </c>
      <c r="R1708" s="23" t="s">
        <v>77</v>
      </c>
      <c r="T1708" s="124" t="s">
        <v>3251</v>
      </c>
      <c r="U1708" s="184"/>
      <c r="V1708" s="83" t="s">
        <v>79</v>
      </c>
      <c r="W1708" s="166"/>
      <c r="X1708" s="83" t="s">
        <v>80</v>
      </c>
      <c r="Y1708" s="55"/>
      <c r="Z1708" s="119" t="s">
        <v>79</v>
      </c>
      <c r="AA1708" s="168"/>
      <c r="AB1708" s="83" t="s">
        <v>80</v>
      </c>
      <c r="AC1708" s="184"/>
      <c r="AD1708" s="106" t="s">
        <v>3252</v>
      </c>
    </row>
    <row r="1709" spans="2:30" s="57" customFormat="1" ht="51">
      <c r="B1709" s="23" t="s">
        <v>3797</v>
      </c>
      <c r="D1709" s="23" t="s">
        <v>370</v>
      </c>
      <c r="F1709" s="23" t="s">
        <v>370</v>
      </c>
      <c r="H1709" s="23" t="s">
        <v>116</v>
      </c>
      <c r="J1709" s="23" t="s">
        <v>411</v>
      </c>
      <c r="L1709" s="23" t="s">
        <v>737</v>
      </c>
      <c r="N1709" s="23" t="s">
        <v>96</v>
      </c>
      <c r="P1709" s="106" t="s">
        <v>3250</v>
      </c>
      <c r="R1709" s="23" t="s">
        <v>77</v>
      </c>
      <c r="T1709" s="124" t="s">
        <v>3251</v>
      </c>
      <c r="U1709" s="184"/>
      <c r="V1709" s="83" t="s">
        <v>79</v>
      </c>
      <c r="W1709" s="166"/>
      <c r="X1709" s="83" t="s">
        <v>80</v>
      </c>
      <c r="Y1709" s="55"/>
      <c r="Z1709" s="119" t="s">
        <v>79</v>
      </c>
      <c r="AA1709" s="168"/>
      <c r="AB1709" s="83" t="s">
        <v>80</v>
      </c>
      <c r="AC1709" s="184"/>
      <c r="AD1709" s="106" t="s">
        <v>3252</v>
      </c>
    </row>
    <row r="1710" spans="2:30" s="57" customFormat="1" ht="51">
      <c r="B1710" s="23" t="s">
        <v>3798</v>
      </c>
      <c r="D1710" s="23" t="s">
        <v>370</v>
      </c>
      <c r="F1710" s="23" t="s">
        <v>370</v>
      </c>
      <c r="H1710" s="23" t="s">
        <v>116</v>
      </c>
      <c r="J1710" s="23" t="s">
        <v>411</v>
      </c>
      <c r="L1710" s="23" t="s">
        <v>737</v>
      </c>
      <c r="N1710" s="23" t="s">
        <v>96</v>
      </c>
      <c r="P1710" s="106" t="s">
        <v>3250</v>
      </c>
      <c r="R1710" s="23" t="s">
        <v>77</v>
      </c>
      <c r="T1710" s="124" t="s">
        <v>3251</v>
      </c>
      <c r="U1710" s="184"/>
      <c r="V1710" s="83" t="s">
        <v>79</v>
      </c>
      <c r="W1710" s="166"/>
      <c r="X1710" s="83" t="s">
        <v>80</v>
      </c>
      <c r="Y1710" s="55"/>
      <c r="Z1710" s="119" t="s">
        <v>79</v>
      </c>
      <c r="AA1710" s="168"/>
      <c r="AB1710" s="83" t="s">
        <v>80</v>
      </c>
      <c r="AC1710" s="184"/>
      <c r="AD1710" s="106" t="s">
        <v>3252</v>
      </c>
    </row>
    <row r="1711" spans="2:30" s="57" customFormat="1" ht="51">
      <c r="B1711" s="23" t="s">
        <v>3799</v>
      </c>
      <c r="D1711" s="23" t="s">
        <v>370</v>
      </c>
      <c r="F1711" s="23" t="s">
        <v>370</v>
      </c>
      <c r="H1711" s="23" t="s">
        <v>116</v>
      </c>
      <c r="J1711" s="23" t="s">
        <v>411</v>
      </c>
      <c r="L1711" s="23" t="s">
        <v>737</v>
      </c>
      <c r="N1711" s="23" t="s">
        <v>96</v>
      </c>
      <c r="P1711" s="106" t="s">
        <v>3250</v>
      </c>
      <c r="R1711" s="23" t="s">
        <v>77</v>
      </c>
      <c r="T1711" s="124" t="s">
        <v>3251</v>
      </c>
      <c r="U1711" s="184"/>
      <c r="V1711" s="83" t="s">
        <v>79</v>
      </c>
      <c r="W1711" s="166"/>
      <c r="X1711" s="83" t="s">
        <v>80</v>
      </c>
      <c r="Y1711" s="55"/>
      <c r="Z1711" s="119" t="s">
        <v>79</v>
      </c>
      <c r="AA1711" s="168"/>
      <c r="AB1711" s="83" t="s">
        <v>80</v>
      </c>
      <c r="AC1711" s="184"/>
      <c r="AD1711" s="106" t="s">
        <v>3252</v>
      </c>
    </row>
    <row r="1712" spans="2:30" s="57" customFormat="1" ht="51">
      <c r="B1712" s="23" t="s">
        <v>3800</v>
      </c>
      <c r="D1712" s="23" t="s">
        <v>370</v>
      </c>
      <c r="F1712" s="23" t="s">
        <v>370</v>
      </c>
      <c r="H1712" s="23" t="s">
        <v>116</v>
      </c>
      <c r="J1712" s="23" t="s">
        <v>411</v>
      </c>
      <c r="L1712" s="23" t="s">
        <v>737</v>
      </c>
      <c r="N1712" s="23" t="s">
        <v>96</v>
      </c>
      <c r="P1712" s="106" t="s">
        <v>3250</v>
      </c>
      <c r="R1712" s="23" t="s">
        <v>77</v>
      </c>
      <c r="T1712" s="124" t="s">
        <v>3251</v>
      </c>
      <c r="U1712" s="184"/>
      <c r="V1712" s="83" t="s">
        <v>79</v>
      </c>
      <c r="W1712" s="166"/>
      <c r="X1712" s="83" t="s">
        <v>80</v>
      </c>
      <c r="Y1712" s="55"/>
      <c r="Z1712" s="119" t="s">
        <v>79</v>
      </c>
      <c r="AA1712" s="168"/>
      <c r="AB1712" s="83" t="s">
        <v>80</v>
      </c>
      <c r="AC1712" s="184"/>
      <c r="AD1712" s="106" t="s">
        <v>3252</v>
      </c>
    </row>
    <row r="1713" spans="2:30" s="57" customFormat="1" ht="51">
      <c r="B1713" s="23" t="s">
        <v>3801</v>
      </c>
      <c r="D1713" s="23" t="s">
        <v>3297</v>
      </c>
      <c r="F1713" s="23" t="s">
        <v>123</v>
      </c>
      <c r="H1713" s="23" t="s">
        <v>116</v>
      </c>
      <c r="J1713" s="23" t="s">
        <v>411</v>
      </c>
      <c r="L1713" s="23" t="s">
        <v>737</v>
      </c>
      <c r="N1713" s="23" t="s">
        <v>96</v>
      </c>
      <c r="P1713" s="106" t="s">
        <v>3250</v>
      </c>
      <c r="R1713" s="23" t="s">
        <v>77</v>
      </c>
      <c r="T1713" s="124" t="s">
        <v>3251</v>
      </c>
      <c r="U1713" s="184"/>
      <c r="V1713" s="83" t="s">
        <v>79</v>
      </c>
      <c r="W1713" s="166"/>
      <c r="X1713" s="83" t="s">
        <v>80</v>
      </c>
      <c r="Y1713" s="55"/>
      <c r="Z1713" s="119" t="s">
        <v>79</v>
      </c>
      <c r="AA1713" s="168"/>
      <c r="AB1713" s="83" t="s">
        <v>80</v>
      </c>
      <c r="AC1713" s="184"/>
      <c r="AD1713" s="106" t="s">
        <v>3252</v>
      </c>
    </row>
    <row r="1714" spans="2:30" s="57" customFormat="1" ht="51">
      <c r="B1714" s="23" t="s">
        <v>3802</v>
      </c>
      <c r="D1714" s="23" t="s">
        <v>702</v>
      </c>
      <c r="F1714" s="23" t="s">
        <v>370</v>
      </c>
      <c r="H1714" s="23" t="s">
        <v>116</v>
      </c>
      <c r="J1714" s="23" t="s">
        <v>411</v>
      </c>
      <c r="L1714" s="23" t="s">
        <v>737</v>
      </c>
      <c r="N1714" s="23" t="s">
        <v>96</v>
      </c>
      <c r="P1714" s="106" t="s">
        <v>3250</v>
      </c>
      <c r="R1714" s="23" t="s">
        <v>77</v>
      </c>
      <c r="T1714" s="124" t="s">
        <v>3251</v>
      </c>
      <c r="U1714" s="184"/>
      <c r="V1714" s="83" t="s">
        <v>79</v>
      </c>
      <c r="W1714" s="166"/>
      <c r="X1714" s="83" t="s">
        <v>80</v>
      </c>
      <c r="Y1714" s="55"/>
      <c r="Z1714" s="119" t="s">
        <v>79</v>
      </c>
      <c r="AA1714" s="168"/>
      <c r="AB1714" s="83" t="s">
        <v>80</v>
      </c>
      <c r="AC1714" s="184"/>
      <c r="AD1714" s="106" t="s">
        <v>3252</v>
      </c>
    </row>
    <row r="1715" spans="2:30" s="57" customFormat="1" ht="51">
      <c r="B1715" s="23" t="s">
        <v>3803</v>
      </c>
      <c r="D1715" s="23" t="s">
        <v>1214</v>
      </c>
      <c r="F1715" s="23" t="s">
        <v>254</v>
      </c>
      <c r="H1715" s="23" t="s">
        <v>116</v>
      </c>
      <c r="J1715" s="23" t="s">
        <v>411</v>
      </c>
      <c r="L1715" s="23" t="s">
        <v>737</v>
      </c>
      <c r="N1715" s="23" t="s">
        <v>96</v>
      </c>
      <c r="P1715" s="106" t="s">
        <v>3250</v>
      </c>
      <c r="R1715" s="23" t="s">
        <v>77</v>
      </c>
      <c r="T1715" s="124" t="s">
        <v>3251</v>
      </c>
      <c r="U1715" s="184"/>
      <c r="V1715" s="83" t="s">
        <v>79</v>
      </c>
      <c r="W1715" s="166"/>
      <c r="X1715" s="83" t="s">
        <v>80</v>
      </c>
      <c r="Y1715" s="55"/>
      <c r="Z1715" s="119" t="s">
        <v>79</v>
      </c>
      <c r="AA1715" s="168"/>
      <c r="AB1715" s="83" t="s">
        <v>80</v>
      </c>
      <c r="AC1715" s="184"/>
      <c r="AD1715" s="106" t="s">
        <v>3252</v>
      </c>
    </row>
    <row r="1716" spans="2:30" s="57" customFormat="1" ht="51">
      <c r="B1716" s="23" t="s">
        <v>3804</v>
      </c>
      <c r="D1716" s="23" t="s">
        <v>1515</v>
      </c>
      <c r="F1716" s="23" t="s">
        <v>254</v>
      </c>
      <c r="H1716" s="23" t="s">
        <v>654</v>
      </c>
      <c r="J1716" s="23" t="s">
        <v>411</v>
      </c>
      <c r="L1716" s="23" t="s">
        <v>737</v>
      </c>
      <c r="N1716" s="23" t="s">
        <v>96</v>
      </c>
      <c r="P1716" s="106" t="s">
        <v>3250</v>
      </c>
      <c r="R1716" s="23" t="s">
        <v>77</v>
      </c>
      <c r="T1716" s="124" t="s">
        <v>3251</v>
      </c>
      <c r="U1716" s="184"/>
      <c r="V1716" s="83" t="s">
        <v>79</v>
      </c>
      <c r="W1716" s="166"/>
      <c r="X1716" s="83" t="s">
        <v>80</v>
      </c>
      <c r="Y1716" s="55"/>
      <c r="Z1716" s="119" t="s">
        <v>79</v>
      </c>
      <c r="AA1716" s="168"/>
      <c r="AB1716" s="83" t="s">
        <v>80</v>
      </c>
      <c r="AC1716" s="184"/>
      <c r="AD1716" s="106" t="s">
        <v>3252</v>
      </c>
    </row>
    <row r="1717" spans="2:30" s="57" customFormat="1" ht="51">
      <c r="B1717" s="23" t="s">
        <v>3805</v>
      </c>
      <c r="D1717" s="23" t="s">
        <v>613</v>
      </c>
      <c r="F1717" s="23" t="s">
        <v>254</v>
      </c>
      <c r="H1717" s="23" t="s">
        <v>116</v>
      </c>
      <c r="J1717" s="23" t="s">
        <v>411</v>
      </c>
      <c r="L1717" s="23" t="s">
        <v>737</v>
      </c>
      <c r="N1717" s="23" t="s">
        <v>96</v>
      </c>
      <c r="P1717" s="106" t="s">
        <v>3250</v>
      </c>
      <c r="R1717" s="23" t="s">
        <v>77</v>
      </c>
      <c r="T1717" s="124" t="s">
        <v>3251</v>
      </c>
      <c r="U1717" s="184"/>
      <c r="V1717" s="83" t="s">
        <v>79</v>
      </c>
      <c r="W1717" s="166"/>
      <c r="X1717" s="83" t="s">
        <v>80</v>
      </c>
      <c r="Y1717" s="55"/>
      <c r="Z1717" s="119" t="s">
        <v>79</v>
      </c>
      <c r="AA1717" s="168"/>
      <c r="AB1717" s="83" t="s">
        <v>80</v>
      </c>
      <c r="AC1717" s="184"/>
      <c r="AD1717" s="106" t="s">
        <v>3252</v>
      </c>
    </row>
    <row r="1718" spans="2:30" s="57" customFormat="1" ht="51">
      <c r="B1718" s="23" t="s">
        <v>3806</v>
      </c>
      <c r="D1718" s="23" t="s">
        <v>2875</v>
      </c>
      <c r="F1718" s="23" t="s">
        <v>123</v>
      </c>
      <c r="H1718" s="23" t="s">
        <v>116</v>
      </c>
      <c r="J1718" s="23" t="s">
        <v>411</v>
      </c>
      <c r="L1718" s="23" t="s">
        <v>737</v>
      </c>
      <c r="N1718" s="23" t="s">
        <v>96</v>
      </c>
      <c r="P1718" s="106" t="s">
        <v>3250</v>
      </c>
      <c r="R1718" s="23" t="s">
        <v>77</v>
      </c>
      <c r="T1718" s="124" t="s">
        <v>3251</v>
      </c>
      <c r="U1718" s="184"/>
      <c r="V1718" s="83" t="s">
        <v>79</v>
      </c>
      <c r="W1718" s="166"/>
      <c r="X1718" s="83" t="s">
        <v>80</v>
      </c>
      <c r="Y1718" s="55"/>
      <c r="Z1718" s="119" t="s">
        <v>79</v>
      </c>
      <c r="AA1718" s="168"/>
      <c r="AB1718" s="83" t="s">
        <v>80</v>
      </c>
      <c r="AC1718" s="184"/>
      <c r="AD1718" s="106" t="s">
        <v>3252</v>
      </c>
    </row>
    <row r="1719" spans="2:30" s="57" customFormat="1" ht="51">
      <c r="B1719" s="23" t="s">
        <v>3807</v>
      </c>
      <c r="D1719" s="23" t="s">
        <v>1515</v>
      </c>
      <c r="F1719" s="23" t="s">
        <v>254</v>
      </c>
      <c r="H1719" s="23" t="s">
        <v>116</v>
      </c>
      <c r="J1719" s="23" t="s">
        <v>411</v>
      </c>
      <c r="L1719" s="23" t="s">
        <v>737</v>
      </c>
      <c r="N1719" s="23" t="s">
        <v>96</v>
      </c>
      <c r="P1719" s="106" t="s">
        <v>3250</v>
      </c>
      <c r="R1719" s="23" t="s">
        <v>77</v>
      </c>
      <c r="T1719" s="124" t="s">
        <v>3251</v>
      </c>
      <c r="U1719" s="184"/>
      <c r="V1719" s="83" t="s">
        <v>79</v>
      </c>
      <c r="W1719" s="166"/>
      <c r="X1719" s="83" t="s">
        <v>80</v>
      </c>
      <c r="Y1719" s="55"/>
      <c r="Z1719" s="119" t="s">
        <v>79</v>
      </c>
      <c r="AA1719" s="168"/>
      <c r="AB1719" s="83" t="s">
        <v>80</v>
      </c>
      <c r="AC1719" s="184"/>
      <c r="AD1719" s="106" t="s">
        <v>3252</v>
      </c>
    </row>
    <row r="1720" spans="2:30" s="57" customFormat="1" ht="51">
      <c r="B1720" s="23" t="s">
        <v>3808</v>
      </c>
      <c r="D1720" s="23" t="s">
        <v>3809</v>
      </c>
      <c r="F1720" s="23" t="s">
        <v>363</v>
      </c>
      <c r="H1720" s="23" t="s">
        <v>654</v>
      </c>
      <c r="J1720" s="23" t="s">
        <v>411</v>
      </c>
      <c r="L1720" s="23" t="s">
        <v>737</v>
      </c>
      <c r="N1720" s="23" t="s">
        <v>96</v>
      </c>
      <c r="P1720" s="106" t="s">
        <v>3250</v>
      </c>
      <c r="R1720" s="23" t="s">
        <v>77</v>
      </c>
      <c r="T1720" s="124" t="s">
        <v>3251</v>
      </c>
      <c r="U1720" s="184"/>
      <c r="V1720" s="83" t="s">
        <v>79</v>
      </c>
      <c r="W1720" s="166"/>
      <c r="X1720" s="83" t="s">
        <v>80</v>
      </c>
      <c r="Y1720" s="55"/>
      <c r="Z1720" s="119" t="s">
        <v>79</v>
      </c>
      <c r="AA1720" s="168"/>
      <c r="AB1720" s="83" t="s">
        <v>80</v>
      </c>
      <c r="AC1720" s="184"/>
      <c r="AD1720" s="106" t="s">
        <v>3252</v>
      </c>
    </row>
    <row r="1721" spans="2:30" s="57" customFormat="1" ht="51">
      <c r="B1721" s="23" t="s">
        <v>3810</v>
      </c>
      <c r="D1721" s="23" t="s">
        <v>702</v>
      </c>
      <c r="F1721" s="23" t="s">
        <v>3811</v>
      </c>
      <c r="H1721" s="23" t="s">
        <v>116</v>
      </c>
      <c r="J1721" s="23" t="s">
        <v>411</v>
      </c>
      <c r="L1721" s="23" t="s">
        <v>737</v>
      </c>
      <c r="N1721" s="23" t="s">
        <v>96</v>
      </c>
      <c r="P1721" s="106" t="s">
        <v>3250</v>
      </c>
      <c r="R1721" s="23" t="s">
        <v>77</v>
      </c>
      <c r="T1721" s="124" t="s">
        <v>3251</v>
      </c>
      <c r="U1721" s="184"/>
      <c r="V1721" s="83" t="s">
        <v>79</v>
      </c>
      <c r="W1721" s="166"/>
      <c r="X1721" s="83" t="s">
        <v>80</v>
      </c>
      <c r="Y1721" s="55"/>
      <c r="Z1721" s="119" t="s">
        <v>79</v>
      </c>
      <c r="AA1721" s="168"/>
      <c r="AB1721" s="83" t="s">
        <v>80</v>
      </c>
      <c r="AC1721" s="184"/>
      <c r="AD1721" s="106" t="s">
        <v>3252</v>
      </c>
    </row>
    <row r="1722" spans="2:30" s="57" customFormat="1" ht="51">
      <c r="B1722" s="23" t="s">
        <v>3812</v>
      </c>
      <c r="D1722" s="23" t="s">
        <v>3813</v>
      </c>
      <c r="F1722" s="23" t="s">
        <v>254</v>
      </c>
      <c r="H1722" s="23" t="s">
        <v>116</v>
      </c>
      <c r="J1722" s="23" t="s">
        <v>411</v>
      </c>
      <c r="L1722" s="23" t="s">
        <v>737</v>
      </c>
      <c r="N1722" s="23" t="s">
        <v>96</v>
      </c>
      <c r="P1722" s="106" t="s">
        <v>3250</v>
      </c>
      <c r="R1722" s="23" t="s">
        <v>77</v>
      </c>
      <c r="T1722" s="124" t="s">
        <v>3251</v>
      </c>
      <c r="U1722" s="184"/>
      <c r="V1722" s="83" t="s">
        <v>79</v>
      </c>
      <c r="W1722" s="166"/>
      <c r="X1722" s="83" t="s">
        <v>80</v>
      </c>
      <c r="Y1722" s="55"/>
      <c r="Z1722" s="119" t="s">
        <v>79</v>
      </c>
      <c r="AA1722" s="168"/>
      <c r="AB1722" s="83" t="s">
        <v>80</v>
      </c>
      <c r="AC1722" s="184"/>
      <c r="AD1722" s="106" t="s">
        <v>3252</v>
      </c>
    </row>
    <row r="1723" spans="2:30" s="57" customFormat="1" ht="51">
      <c r="B1723" s="23" t="s">
        <v>3814</v>
      </c>
      <c r="D1723" s="23" t="s">
        <v>553</v>
      </c>
      <c r="F1723" s="23" t="s">
        <v>254</v>
      </c>
      <c r="H1723" s="23" t="s">
        <v>116</v>
      </c>
      <c r="J1723" s="23" t="s">
        <v>411</v>
      </c>
      <c r="L1723" s="23" t="s">
        <v>737</v>
      </c>
      <c r="N1723" s="23" t="s">
        <v>96</v>
      </c>
      <c r="P1723" s="106" t="s">
        <v>3250</v>
      </c>
      <c r="R1723" s="23" t="s">
        <v>77</v>
      </c>
      <c r="T1723" s="124" t="s">
        <v>3251</v>
      </c>
      <c r="U1723" s="184"/>
      <c r="V1723" s="83" t="s">
        <v>79</v>
      </c>
      <c r="W1723" s="166"/>
      <c r="X1723" s="83" t="s">
        <v>80</v>
      </c>
      <c r="Y1723" s="55"/>
      <c r="Z1723" s="119" t="s">
        <v>79</v>
      </c>
      <c r="AA1723" s="168"/>
      <c r="AB1723" s="83" t="s">
        <v>80</v>
      </c>
      <c r="AC1723" s="184"/>
      <c r="AD1723" s="106" t="s">
        <v>3252</v>
      </c>
    </row>
    <row r="1724" spans="2:30" s="57" customFormat="1" ht="51">
      <c r="B1724" s="23" t="s">
        <v>3815</v>
      </c>
      <c r="D1724" s="23" t="s">
        <v>3816</v>
      </c>
      <c r="F1724" s="23" t="s">
        <v>254</v>
      </c>
      <c r="H1724" s="23" t="s">
        <v>116</v>
      </c>
      <c r="J1724" s="23" t="s">
        <v>411</v>
      </c>
      <c r="L1724" s="23" t="s">
        <v>737</v>
      </c>
      <c r="N1724" s="23" t="s">
        <v>96</v>
      </c>
      <c r="P1724" s="106" t="s">
        <v>3250</v>
      </c>
      <c r="R1724" s="23" t="s">
        <v>77</v>
      </c>
      <c r="T1724" s="124" t="s">
        <v>3251</v>
      </c>
      <c r="U1724" s="184"/>
      <c r="V1724" s="83" t="s">
        <v>79</v>
      </c>
      <c r="W1724" s="166"/>
      <c r="X1724" s="83" t="s">
        <v>80</v>
      </c>
      <c r="Y1724" s="55"/>
      <c r="Z1724" s="119" t="s">
        <v>79</v>
      </c>
      <c r="AA1724" s="168"/>
      <c r="AB1724" s="83" t="s">
        <v>80</v>
      </c>
      <c r="AC1724" s="184"/>
      <c r="AD1724" s="106" t="s">
        <v>3252</v>
      </c>
    </row>
    <row r="1725" spans="2:30" s="57" customFormat="1" ht="51">
      <c r="B1725" s="23" t="s">
        <v>3817</v>
      </c>
      <c r="D1725" s="23" t="s">
        <v>1214</v>
      </c>
      <c r="F1725" s="23" t="s">
        <v>254</v>
      </c>
      <c r="H1725" s="23" t="s">
        <v>116</v>
      </c>
      <c r="J1725" s="23" t="s">
        <v>411</v>
      </c>
      <c r="L1725" s="23" t="s">
        <v>737</v>
      </c>
      <c r="N1725" s="23" t="s">
        <v>96</v>
      </c>
      <c r="P1725" s="106" t="s">
        <v>3250</v>
      </c>
      <c r="R1725" s="23" t="s">
        <v>77</v>
      </c>
      <c r="T1725" s="124" t="s">
        <v>3251</v>
      </c>
      <c r="U1725" s="184"/>
      <c r="V1725" s="83" t="s">
        <v>79</v>
      </c>
      <c r="W1725" s="166"/>
      <c r="X1725" s="83" t="s">
        <v>80</v>
      </c>
      <c r="Y1725" s="55"/>
      <c r="Z1725" s="119" t="s">
        <v>79</v>
      </c>
      <c r="AA1725" s="168"/>
      <c r="AB1725" s="83" t="s">
        <v>80</v>
      </c>
      <c r="AC1725" s="184"/>
      <c r="AD1725" s="106" t="s">
        <v>3252</v>
      </c>
    </row>
    <row r="1726" spans="2:30" s="57" customFormat="1" ht="51">
      <c r="B1726" s="23" t="s">
        <v>3818</v>
      </c>
      <c r="D1726" s="23" t="s">
        <v>1434</v>
      </c>
      <c r="F1726" s="23" t="s">
        <v>254</v>
      </c>
      <c r="H1726" s="23" t="s">
        <v>116</v>
      </c>
      <c r="J1726" s="23" t="s">
        <v>411</v>
      </c>
      <c r="L1726" s="23" t="s">
        <v>737</v>
      </c>
      <c r="N1726" s="23" t="s">
        <v>96</v>
      </c>
      <c r="P1726" s="106" t="s">
        <v>3250</v>
      </c>
      <c r="R1726" s="23" t="s">
        <v>77</v>
      </c>
      <c r="T1726" s="124" t="s">
        <v>3251</v>
      </c>
      <c r="U1726" s="184"/>
      <c r="V1726" s="83" t="s">
        <v>79</v>
      </c>
      <c r="W1726" s="166"/>
      <c r="X1726" s="83" t="s">
        <v>80</v>
      </c>
      <c r="Y1726" s="55"/>
      <c r="Z1726" s="119" t="s">
        <v>79</v>
      </c>
      <c r="AA1726" s="168"/>
      <c r="AB1726" s="83" t="s">
        <v>80</v>
      </c>
      <c r="AC1726" s="184"/>
      <c r="AD1726" s="106" t="s">
        <v>3252</v>
      </c>
    </row>
    <row r="1727" spans="2:30" s="57" customFormat="1" ht="51">
      <c r="B1727" s="23" t="s">
        <v>3819</v>
      </c>
      <c r="D1727" s="23" t="s">
        <v>2424</v>
      </c>
      <c r="F1727" s="23" t="s">
        <v>254</v>
      </c>
      <c r="H1727" s="23" t="s">
        <v>116</v>
      </c>
      <c r="J1727" s="23" t="s">
        <v>411</v>
      </c>
      <c r="L1727" s="23" t="s">
        <v>737</v>
      </c>
      <c r="N1727" s="23" t="s">
        <v>96</v>
      </c>
      <c r="P1727" s="106" t="s">
        <v>3250</v>
      </c>
      <c r="R1727" s="23" t="s">
        <v>77</v>
      </c>
      <c r="T1727" s="124" t="s">
        <v>3251</v>
      </c>
      <c r="U1727" s="185"/>
      <c r="V1727" s="83" t="s">
        <v>79</v>
      </c>
      <c r="W1727" s="166"/>
      <c r="X1727" s="83" t="s">
        <v>80</v>
      </c>
      <c r="Y1727" s="186"/>
      <c r="Z1727" s="119" t="s">
        <v>79</v>
      </c>
      <c r="AA1727" s="168"/>
      <c r="AB1727" s="83" t="s">
        <v>80</v>
      </c>
      <c r="AC1727" s="184"/>
      <c r="AD1727" s="106" t="s">
        <v>3252</v>
      </c>
    </row>
    <row r="1728" spans="2:30" s="57" customFormat="1" ht="51">
      <c r="B1728" s="23" t="s">
        <v>3820</v>
      </c>
      <c r="D1728" s="23" t="s">
        <v>604</v>
      </c>
      <c r="F1728" s="23" t="s">
        <v>254</v>
      </c>
      <c r="H1728" s="23" t="s">
        <v>654</v>
      </c>
      <c r="J1728" s="23" t="s">
        <v>411</v>
      </c>
      <c r="L1728" s="23" t="s">
        <v>737</v>
      </c>
      <c r="N1728" s="23" t="s">
        <v>96</v>
      </c>
      <c r="P1728" s="106" t="s">
        <v>3250</v>
      </c>
      <c r="R1728" s="23" t="s">
        <v>77</v>
      </c>
      <c r="T1728" s="124" t="s">
        <v>3251</v>
      </c>
      <c r="U1728" s="184"/>
      <c r="V1728" s="83" t="s">
        <v>79</v>
      </c>
      <c r="W1728" s="166"/>
      <c r="X1728" s="83" t="s">
        <v>80</v>
      </c>
      <c r="Y1728" s="55"/>
      <c r="Z1728" s="119" t="s">
        <v>79</v>
      </c>
      <c r="AA1728" s="168"/>
      <c r="AB1728" s="83" t="s">
        <v>80</v>
      </c>
      <c r="AC1728" s="184"/>
      <c r="AD1728" s="106" t="s">
        <v>3252</v>
      </c>
    </row>
    <row r="1729" spans="2:30" s="57" customFormat="1" ht="51">
      <c r="B1729" s="23" t="s">
        <v>3821</v>
      </c>
      <c r="D1729" s="23" t="s">
        <v>1515</v>
      </c>
      <c r="F1729" s="23" t="s">
        <v>123</v>
      </c>
      <c r="H1729" s="23" t="s">
        <v>116</v>
      </c>
      <c r="J1729" s="23" t="s">
        <v>411</v>
      </c>
      <c r="L1729" s="23" t="s">
        <v>737</v>
      </c>
      <c r="N1729" s="23" t="s">
        <v>96</v>
      </c>
      <c r="P1729" s="106" t="s">
        <v>3250</v>
      </c>
      <c r="R1729" s="23" t="s">
        <v>77</v>
      </c>
      <c r="T1729" s="124" t="s">
        <v>3251</v>
      </c>
      <c r="U1729" s="184"/>
      <c r="V1729" s="83" t="s">
        <v>79</v>
      </c>
      <c r="W1729" s="166"/>
      <c r="X1729" s="83" t="s">
        <v>80</v>
      </c>
      <c r="Y1729" s="55"/>
      <c r="Z1729" s="119" t="s">
        <v>79</v>
      </c>
      <c r="AA1729" s="168"/>
      <c r="AB1729" s="83" t="s">
        <v>80</v>
      </c>
      <c r="AC1729" s="184"/>
      <c r="AD1729" s="106" t="s">
        <v>3252</v>
      </c>
    </row>
    <row r="1730" spans="2:30" s="57" customFormat="1" ht="51">
      <c r="B1730" s="23" t="s">
        <v>3822</v>
      </c>
      <c r="D1730" s="23" t="s">
        <v>1137</v>
      </c>
      <c r="F1730" s="23" t="s">
        <v>254</v>
      </c>
      <c r="H1730" s="23" t="s">
        <v>116</v>
      </c>
      <c r="J1730" s="23" t="s">
        <v>411</v>
      </c>
      <c r="L1730" s="23" t="s">
        <v>737</v>
      </c>
      <c r="N1730" s="23" t="s">
        <v>96</v>
      </c>
      <c r="P1730" s="106" t="s">
        <v>3250</v>
      </c>
      <c r="R1730" s="23" t="s">
        <v>77</v>
      </c>
      <c r="T1730" s="124" t="s">
        <v>3251</v>
      </c>
      <c r="U1730" s="184"/>
      <c r="V1730" s="83" t="s">
        <v>79</v>
      </c>
      <c r="W1730" s="166"/>
      <c r="X1730" s="83" t="s">
        <v>80</v>
      </c>
      <c r="Y1730" s="55"/>
      <c r="Z1730" s="119" t="s">
        <v>79</v>
      </c>
      <c r="AA1730" s="168"/>
      <c r="AB1730" s="83" t="s">
        <v>80</v>
      </c>
      <c r="AC1730" s="184"/>
      <c r="AD1730" s="106" t="s">
        <v>3252</v>
      </c>
    </row>
    <row r="1731" spans="2:30" s="57" customFormat="1" ht="51">
      <c r="B1731" s="23" t="s">
        <v>3823</v>
      </c>
      <c r="D1731" s="23" t="s">
        <v>3824</v>
      </c>
      <c r="F1731" s="23" t="s">
        <v>254</v>
      </c>
      <c r="H1731" s="23" t="s">
        <v>654</v>
      </c>
      <c r="J1731" s="23" t="s">
        <v>411</v>
      </c>
      <c r="L1731" s="23" t="s">
        <v>737</v>
      </c>
      <c r="N1731" s="23" t="s">
        <v>96</v>
      </c>
      <c r="P1731" s="106" t="s">
        <v>3250</v>
      </c>
      <c r="R1731" s="23" t="s">
        <v>77</v>
      </c>
      <c r="T1731" s="124" t="s">
        <v>3251</v>
      </c>
      <c r="U1731" s="184"/>
      <c r="V1731" s="83" t="s">
        <v>79</v>
      </c>
      <c r="W1731" s="166"/>
      <c r="X1731" s="83" t="s">
        <v>80</v>
      </c>
      <c r="Y1731" s="55"/>
      <c r="Z1731" s="119" t="s">
        <v>79</v>
      </c>
      <c r="AA1731" s="168"/>
      <c r="AB1731" s="83" t="s">
        <v>80</v>
      </c>
      <c r="AC1731" s="184"/>
      <c r="AD1731" s="106" t="s">
        <v>3252</v>
      </c>
    </row>
    <row r="1732" spans="2:30" s="57" customFormat="1" ht="51">
      <c r="B1732" s="23" t="s">
        <v>3825</v>
      </c>
      <c r="D1732" s="23" t="s">
        <v>2303</v>
      </c>
      <c r="F1732" s="23" t="s">
        <v>2303</v>
      </c>
      <c r="H1732" s="23" t="s">
        <v>116</v>
      </c>
      <c r="J1732" s="23" t="s">
        <v>411</v>
      </c>
      <c r="L1732" s="23" t="s">
        <v>737</v>
      </c>
      <c r="N1732" s="23" t="s">
        <v>96</v>
      </c>
      <c r="P1732" s="106" t="s">
        <v>3250</v>
      </c>
      <c r="R1732" s="23" t="s">
        <v>77</v>
      </c>
      <c r="T1732" s="124" t="s">
        <v>3251</v>
      </c>
      <c r="U1732" s="184"/>
      <c r="V1732" s="83" t="s">
        <v>79</v>
      </c>
      <c r="W1732" s="166"/>
      <c r="X1732" s="83" t="s">
        <v>80</v>
      </c>
      <c r="Y1732" s="55"/>
      <c r="Z1732" s="119" t="s">
        <v>79</v>
      </c>
      <c r="AA1732" s="168"/>
      <c r="AB1732" s="83" t="s">
        <v>80</v>
      </c>
      <c r="AC1732" s="184"/>
      <c r="AD1732" s="106" t="s">
        <v>3252</v>
      </c>
    </row>
    <row r="1733" spans="2:30" s="57" customFormat="1" ht="51">
      <c r="B1733" s="23" t="s">
        <v>3826</v>
      </c>
      <c r="D1733" s="23" t="s">
        <v>362</v>
      </c>
      <c r="F1733" s="23" t="s">
        <v>363</v>
      </c>
      <c r="H1733" s="23" t="s">
        <v>116</v>
      </c>
      <c r="J1733" s="23" t="s">
        <v>411</v>
      </c>
      <c r="L1733" s="23" t="s">
        <v>737</v>
      </c>
      <c r="N1733" s="23" t="s">
        <v>96</v>
      </c>
      <c r="P1733" s="106" t="s">
        <v>3250</v>
      </c>
      <c r="R1733" s="23" t="s">
        <v>77</v>
      </c>
      <c r="T1733" s="124" t="s">
        <v>3251</v>
      </c>
      <c r="U1733" s="184"/>
      <c r="V1733" s="83" t="s">
        <v>79</v>
      </c>
      <c r="W1733" s="166"/>
      <c r="X1733" s="83" t="s">
        <v>80</v>
      </c>
      <c r="Y1733" s="55"/>
      <c r="Z1733" s="119" t="s">
        <v>79</v>
      </c>
      <c r="AA1733" s="168"/>
      <c r="AB1733" s="83" t="s">
        <v>80</v>
      </c>
      <c r="AC1733" s="184"/>
      <c r="AD1733" s="106" t="s">
        <v>3252</v>
      </c>
    </row>
    <row r="1734" spans="2:30" s="57" customFormat="1" ht="51">
      <c r="B1734" s="23" t="s">
        <v>3827</v>
      </c>
      <c r="D1734" s="23" t="s">
        <v>1137</v>
      </c>
      <c r="F1734" s="23" t="s">
        <v>254</v>
      </c>
      <c r="H1734" s="23" t="s">
        <v>116</v>
      </c>
      <c r="J1734" s="23" t="s">
        <v>411</v>
      </c>
      <c r="L1734" s="23" t="s">
        <v>737</v>
      </c>
      <c r="N1734" s="23" t="s">
        <v>96</v>
      </c>
      <c r="P1734" s="106" t="s">
        <v>3250</v>
      </c>
      <c r="R1734" s="23" t="s">
        <v>77</v>
      </c>
      <c r="T1734" s="124" t="s">
        <v>3251</v>
      </c>
      <c r="U1734" s="184"/>
      <c r="V1734" s="83" t="s">
        <v>79</v>
      </c>
      <c r="W1734" s="166"/>
      <c r="X1734" s="83" t="s">
        <v>80</v>
      </c>
      <c r="Y1734" s="55"/>
      <c r="Z1734" s="119" t="s">
        <v>79</v>
      </c>
      <c r="AA1734" s="168"/>
      <c r="AB1734" s="83" t="s">
        <v>80</v>
      </c>
      <c r="AC1734" s="184"/>
      <c r="AD1734" s="106" t="s">
        <v>3252</v>
      </c>
    </row>
    <row r="1735" spans="2:30" s="57" customFormat="1" ht="51">
      <c r="B1735" s="23" t="s">
        <v>3828</v>
      </c>
      <c r="D1735" s="23" t="s">
        <v>3829</v>
      </c>
      <c r="F1735" s="23" t="s">
        <v>123</v>
      </c>
      <c r="H1735" s="23" t="s">
        <v>116</v>
      </c>
      <c r="J1735" s="23" t="s">
        <v>411</v>
      </c>
      <c r="L1735" s="23" t="s">
        <v>737</v>
      </c>
      <c r="N1735" s="23" t="s">
        <v>96</v>
      </c>
      <c r="P1735" s="106" t="s">
        <v>3250</v>
      </c>
      <c r="R1735" s="23" t="s">
        <v>77</v>
      </c>
      <c r="T1735" s="124" t="s">
        <v>3251</v>
      </c>
      <c r="U1735" s="184"/>
      <c r="V1735" s="83" t="s">
        <v>79</v>
      </c>
      <c r="W1735" s="166"/>
      <c r="X1735" s="83" t="s">
        <v>80</v>
      </c>
      <c r="Y1735" s="55"/>
      <c r="Z1735" s="119" t="s">
        <v>79</v>
      </c>
      <c r="AA1735" s="168"/>
      <c r="AB1735" s="83" t="s">
        <v>80</v>
      </c>
      <c r="AC1735" s="184"/>
      <c r="AD1735" s="106" t="s">
        <v>3252</v>
      </c>
    </row>
    <row r="1736" spans="2:30" s="57" customFormat="1" ht="51">
      <c r="B1736" s="23" t="s">
        <v>3830</v>
      </c>
      <c r="D1736" s="23" t="s">
        <v>3306</v>
      </c>
      <c r="F1736" s="23" t="s">
        <v>254</v>
      </c>
      <c r="H1736" s="23" t="s">
        <v>116</v>
      </c>
      <c r="J1736" s="23" t="s">
        <v>411</v>
      </c>
      <c r="L1736" s="23" t="s">
        <v>737</v>
      </c>
      <c r="N1736" s="23" t="s">
        <v>96</v>
      </c>
      <c r="P1736" s="106" t="s">
        <v>3250</v>
      </c>
      <c r="R1736" s="23" t="s">
        <v>77</v>
      </c>
      <c r="T1736" s="124" t="s">
        <v>3251</v>
      </c>
      <c r="U1736" s="184"/>
      <c r="V1736" s="83" t="s">
        <v>79</v>
      </c>
      <c r="W1736" s="166"/>
      <c r="X1736" s="83" t="s">
        <v>80</v>
      </c>
      <c r="Y1736" s="55"/>
      <c r="Z1736" s="119" t="s">
        <v>79</v>
      </c>
      <c r="AA1736" s="168"/>
      <c r="AB1736" s="83" t="s">
        <v>80</v>
      </c>
      <c r="AC1736" s="184"/>
      <c r="AD1736" s="106" t="s">
        <v>3252</v>
      </c>
    </row>
    <row r="1737" spans="2:30" s="57" customFormat="1" ht="51">
      <c r="B1737" s="23" t="s">
        <v>3831</v>
      </c>
      <c r="D1737" s="23" t="s">
        <v>2428</v>
      </c>
      <c r="F1737" s="23" t="s">
        <v>123</v>
      </c>
      <c r="H1737" s="23" t="s">
        <v>116</v>
      </c>
      <c r="J1737" s="23" t="s">
        <v>411</v>
      </c>
      <c r="L1737" s="23" t="s">
        <v>737</v>
      </c>
      <c r="N1737" s="23" t="s">
        <v>185</v>
      </c>
      <c r="P1737" s="106" t="s">
        <v>3250</v>
      </c>
      <c r="R1737" s="23" t="s">
        <v>77</v>
      </c>
      <c r="T1737" s="124" t="s">
        <v>3251</v>
      </c>
      <c r="U1737" s="184"/>
      <c r="V1737" s="83" t="s">
        <v>79</v>
      </c>
      <c r="W1737" s="166"/>
      <c r="X1737" s="83" t="s">
        <v>80</v>
      </c>
      <c r="Y1737" s="55"/>
      <c r="Z1737" s="119" t="s">
        <v>79</v>
      </c>
      <c r="AA1737" s="168"/>
      <c r="AB1737" s="83" t="s">
        <v>80</v>
      </c>
      <c r="AC1737" s="184"/>
      <c r="AD1737" s="106" t="s">
        <v>3252</v>
      </c>
    </row>
    <row r="1738" spans="2:30" s="57" customFormat="1" ht="51">
      <c r="B1738" s="23" t="s">
        <v>3832</v>
      </c>
      <c r="D1738" s="23" t="s">
        <v>604</v>
      </c>
      <c r="F1738" s="23" t="s">
        <v>254</v>
      </c>
      <c r="H1738" s="23" t="s">
        <v>116</v>
      </c>
      <c r="J1738" s="23" t="s">
        <v>411</v>
      </c>
      <c r="L1738" s="23" t="s">
        <v>737</v>
      </c>
      <c r="N1738" s="23" t="s">
        <v>96</v>
      </c>
      <c r="P1738" s="106" t="s">
        <v>3250</v>
      </c>
      <c r="R1738" s="23" t="s">
        <v>77</v>
      </c>
      <c r="T1738" s="124" t="s">
        <v>3251</v>
      </c>
      <c r="U1738" s="184"/>
      <c r="V1738" s="83" t="s">
        <v>79</v>
      </c>
      <c r="W1738" s="166"/>
      <c r="X1738" s="83" t="s">
        <v>80</v>
      </c>
      <c r="Y1738" s="55"/>
      <c r="Z1738" s="119" t="s">
        <v>79</v>
      </c>
      <c r="AA1738" s="168"/>
      <c r="AB1738" s="83" t="s">
        <v>80</v>
      </c>
      <c r="AC1738" s="184"/>
      <c r="AD1738" s="106" t="s">
        <v>3252</v>
      </c>
    </row>
    <row r="1739" spans="2:30" s="57" customFormat="1" ht="51">
      <c r="B1739" s="23" t="s">
        <v>3833</v>
      </c>
      <c r="D1739" s="23" t="s">
        <v>2567</v>
      </c>
      <c r="F1739" s="23" t="s">
        <v>394</v>
      </c>
      <c r="H1739" s="23" t="s">
        <v>116</v>
      </c>
      <c r="J1739" s="23" t="s">
        <v>411</v>
      </c>
      <c r="L1739" s="23" t="s">
        <v>737</v>
      </c>
      <c r="N1739" s="23" t="s">
        <v>96</v>
      </c>
      <c r="P1739" s="106" t="s">
        <v>3250</v>
      </c>
      <c r="R1739" s="23" t="s">
        <v>77</v>
      </c>
      <c r="T1739" s="124" t="s">
        <v>3251</v>
      </c>
      <c r="U1739" s="184"/>
      <c r="V1739" s="83" t="s">
        <v>79</v>
      </c>
      <c r="W1739" s="166"/>
      <c r="X1739" s="83" t="s">
        <v>80</v>
      </c>
      <c r="Y1739" s="55"/>
      <c r="Z1739" s="119" t="s">
        <v>79</v>
      </c>
      <c r="AA1739" s="168"/>
      <c r="AB1739" s="83" t="s">
        <v>80</v>
      </c>
      <c r="AC1739" s="184"/>
      <c r="AD1739" s="106" t="s">
        <v>3252</v>
      </c>
    </row>
    <row r="1740" spans="2:30" s="57" customFormat="1" ht="51">
      <c r="B1740" s="23" t="s">
        <v>3834</v>
      </c>
      <c r="D1740" s="23" t="s">
        <v>3835</v>
      </c>
      <c r="F1740" s="23" t="s">
        <v>123</v>
      </c>
      <c r="H1740" s="23" t="s">
        <v>116</v>
      </c>
      <c r="J1740" s="23" t="s">
        <v>411</v>
      </c>
      <c r="L1740" s="23" t="s">
        <v>737</v>
      </c>
      <c r="N1740" s="23" t="s">
        <v>185</v>
      </c>
      <c r="P1740" s="106" t="s">
        <v>3250</v>
      </c>
      <c r="R1740" s="23" t="s">
        <v>77</v>
      </c>
      <c r="T1740" s="124" t="s">
        <v>3251</v>
      </c>
      <c r="U1740" s="184"/>
      <c r="V1740" s="83" t="s">
        <v>79</v>
      </c>
      <c r="W1740" s="166"/>
      <c r="X1740" s="83" t="s">
        <v>80</v>
      </c>
      <c r="Y1740" s="55"/>
      <c r="Z1740" s="119" t="s">
        <v>79</v>
      </c>
      <c r="AA1740" s="168"/>
      <c r="AB1740" s="83" t="s">
        <v>80</v>
      </c>
      <c r="AC1740" s="184"/>
      <c r="AD1740" s="106" t="s">
        <v>3252</v>
      </c>
    </row>
    <row r="1741" spans="2:30" s="57" customFormat="1" ht="51">
      <c r="B1741" s="23" t="s">
        <v>3836</v>
      </c>
      <c r="D1741" s="23" t="s">
        <v>363</v>
      </c>
      <c r="F1741" s="23" t="s">
        <v>363</v>
      </c>
      <c r="H1741" s="23" t="s">
        <v>116</v>
      </c>
      <c r="J1741" s="23" t="s">
        <v>411</v>
      </c>
      <c r="L1741" s="23" t="s">
        <v>737</v>
      </c>
      <c r="N1741" s="23" t="s">
        <v>96</v>
      </c>
      <c r="P1741" s="106" t="s">
        <v>3250</v>
      </c>
      <c r="R1741" s="23" t="s">
        <v>77</v>
      </c>
      <c r="T1741" s="124" t="s">
        <v>3251</v>
      </c>
      <c r="U1741" s="184"/>
      <c r="V1741" s="83" t="s">
        <v>79</v>
      </c>
      <c r="W1741" s="166"/>
      <c r="X1741" s="83" t="s">
        <v>80</v>
      </c>
      <c r="Y1741" s="55"/>
      <c r="Z1741" s="119" t="s">
        <v>79</v>
      </c>
      <c r="AA1741" s="168"/>
      <c r="AB1741" s="83" t="s">
        <v>80</v>
      </c>
      <c r="AC1741" s="184"/>
      <c r="AD1741" s="106" t="s">
        <v>3252</v>
      </c>
    </row>
    <row r="1742" spans="2:30" s="57" customFormat="1" ht="51">
      <c r="B1742" s="23" t="s">
        <v>3837</v>
      </c>
      <c r="D1742" s="23" t="s">
        <v>370</v>
      </c>
      <c r="F1742" s="23" t="s">
        <v>370</v>
      </c>
      <c r="H1742" s="23" t="s">
        <v>116</v>
      </c>
      <c r="J1742" s="23" t="s">
        <v>411</v>
      </c>
      <c r="L1742" s="23" t="s">
        <v>737</v>
      </c>
      <c r="N1742" s="23" t="s">
        <v>96</v>
      </c>
      <c r="P1742" s="106" t="s">
        <v>3250</v>
      </c>
      <c r="R1742" s="23" t="s">
        <v>77</v>
      </c>
      <c r="T1742" s="124" t="s">
        <v>3251</v>
      </c>
      <c r="U1742" s="184"/>
      <c r="V1742" s="83" t="s">
        <v>79</v>
      </c>
      <c r="W1742" s="166"/>
      <c r="X1742" s="83" t="s">
        <v>80</v>
      </c>
      <c r="Y1742" s="55"/>
      <c r="Z1742" s="119" t="s">
        <v>79</v>
      </c>
      <c r="AA1742" s="168"/>
      <c r="AB1742" s="83" t="s">
        <v>80</v>
      </c>
      <c r="AC1742" s="184"/>
      <c r="AD1742" s="106" t="s">
        <v>3252</v>
      </c>
    </row>
    <row r="1743" spans="2:30" s="57" customFormat="1" ht="51">
      <c r="B1743" s="23" t="s">
        <v>3838</v>
      </c>
      <c r="D1743" s="23" t="s">
        <v>702</v>
      </c>
      <c r="F1743" s="23" t="s">
        <v>370</v>
      </c>
      <c r="H1743" s="23" t="s">
        <v>116</v>
      </c>
      <c r="J1743" s="23" t="s">
        <v>411</v>
      </c>
      <c r="L1743" s="23" t="s">
        <v>737</v>
      </c>
      <c r="N1743" s="23" t="s">
        <v>96</v>
      </c>
      <c r="P1743" s="106" t="s">
        <v>3250</v>
      </c>
      <c r="R1743" s="23" t="s">
        <v>77</v>
      </c>
      <c r="T1743" s="124" t="s">
        <v>3251</v>
      </c>
      <c r="U1743" s="184"/>
      <c r="V1743" s="83" t="s">
        <v>79</v>
      </c>
      <c r="W1743" s="166"/>
      <c r="X1743" s="83" t="s">
        <v>80</v>
      </c>
      <c r="Y1743" s="55"/>
      <c r="Z1743" s="119" t="s">
        <v>79</v>
      </c>
      <c r="AA1743" s="168"/>
      <c r="AB1743" s="83" t="s">
        <v>80</v>
      </c>
      <c r="AC1743" s="184"/>
      <c r="AD1743" s="106" t="s">
        <v>3252</v>
      </c>
    </row>
    <row r="1744" spans="2:30" s="57" customFormat="1" ht="51">
      <c r="B1744" s="23" t="s">
        <v>3839</v>
      </c>
      <c r="D1744" s="23" t="s">
        <v>3840</v>
      </c>
      <c r="F1744" s="23" t="s">
        <v>363</v>
      </c>
      <c r="H1744" s="23" t="s">
        <v>654</v>
      </c>
      <c r="J1744" s="23" t="s">
        <v>411</v>
      </c>
      <c r="L1744" s="23" t="s">
        <v>737</v>
      </c>
      <c r="N1744" s="23" t="s">
        <v>96</v>
      </c>
      <c r="P1744" s="106" t="s">
        <v>3250</v>
      </c>
      <c r="R1744" s="23" t="s">
        <v>77</v>
      </c>
      <c r="T1744" s="124" t="s">
        <v>3251</v>
      </c>
      <c r="U1744" s="184"/>
      <c r="V1744" s="83" t="s">
        <v>79</v>
      </c>
      <c r="W1744" s="166"/>
      <c r="X1744" s="83" t="s">
        <v>80</v>
      </c>
      <c r="Y1744" s="55"/>
      <c r="Z1744" s="119" t="s">
        <v>79</v>
      </c>
      <c r="AA1744" s="168"/>
      <c r="AB1744" s="83" t="s">
        <v>80</v>
      </c>
      <c r="AC1744" s="184"/>
      <c r="AD1744" s="106" t="s">
        <v>3252</v>
      </c>
    </row>
    <row r="1745" spans="2:30" s="57" customFormat="1" ht="51">
      <c r="B1745" s="23" t="s">
        <v>3841</v>
      </c>
      <c r="D1745" s="23" t="s">
        <v>2651</v>
      </c>
      <c r="F1745" s="23" t="s">
        <v>394</v>
      </c>
      <c r="H1745" s="23" t="s">
        <v>116</v>
      </c>
      <c r="J1745" s="23" t="s">
        <v>411</v>
      </c>
      <c r="L1745" s="23" t="s">
        <v>737</v>
      </c>
      <c r="N1745" s="23" t="s">
        <v>96</v>
      </c>
      <c r="P1745" s="106" t="s">
        <v>3250</v>
      </c>
      <c r="R1745" s="23" t="s">
        <v>77</v>
      </c>
      <c r="T1745" s="124" t="s">
        <v>3251</v>
      </c>
      <c r="U1745" s="184"/>
      <c r="V1745" s="83" t="s">
        <v>79</v>
      </c>
      <c r="W1745" s="166"/>
      <c r="X1745" s="83" t="s">
        <v>80</v>
      </c>
      <c r="Y1745" s="55"/>
      <c r="Z1745" s="119" t="s">
        <v>79</v>
      </c>
      <c r="AA1745" s="168"/>
      <c r="AB1745" s="83" t="s">
        <v>80</v>
      </c>
      <c r="AC1745" s="184"/>
      <c r="AD1745" s="106" t="s">
        <v>3252</v>
      </c>
    </row>
    <row r="1746" spans="2:30" s="57" customFormat="1" ht="51">
      <c r="B1746" s="23" t="s">
        <v>3842</v>
      </c>
      <c r="D1746" s="23" t="s">
        <v>362</v>
      </c>
      <c r="F1746" s="23" t="s">
        <v>363</v>
      </c>
      <c r="H1746" s="23" t="s">
        <v>116</v>
      </c>
      <c r="J1746" s="23" t="s">
        <v>411</v>
      </c>
      <c r="L1746" s="23" t="s">
        <v>737</v>
      </c>
      <c r="N1746" s="23" t="s">
        <v>96</v>
      </c>
      <c r="P1746" s="106" t="s">
        <v>3250</v>
      </c>
      <c r="R1746" s="23" t="s">
        <v>77</v>
      </c>
      <c r="T1746" s="124" t="s">
        <v>3251</v>
      </c>
      <c r="U1746" s="184"/>
      <c r="V1746" s="83" t="s">
        <v>79</v>
      </c>
      <c r="W1746" s="166"/>
      <c r="X1746" s="83" t="s">
        <v>80</v>
      </c>
      <c r="Y1746" s="55"/>
      <c r="Z1746" s="119" t="s">
        <v>79</v>
      </c>
      <c r="AA1746" s="168"/>
      <c r="AB1746" s="83" t="s">
        <v>80</v>
      </c>
      <c r="AC1746" s="184"/>
      <c r="AD1746" s="106" t="s">
        <v>3252</v>
      </c>
    </row>
    <row r="1747" spans="2:30" s="57" customFormat="1" ht="51">
      <c r="B1747" s="23" t="s">
        <v>3843</v>
      </c>
      <c r="D1747" s="23" t="s">
        <v>370</v>
      </c>
      <c r="F1747" s="23" t="s">
        <v>370</v>
      </c>
      <c r="H1747" s="23" t="s">
        <v>116</v>
      </c>
      <c r="J1747" s="23" t="s">
        <v>411</v>
      </c>
      <c r="L1747" s="23" t="s">
        <v>737</v>
      </c>
      <c r="N1747" s="23" t="s">
        <v>96</v>
      </c>
      <c r="P1747" s="106" t="s">
        <v>3250</v>
      </c>
      <c r="R1747" s="23" t="s">
        <v>77</v>
      </c>
      <c r="T1747" s="124" t="s">
        <v>3251</v>
      </c>
      <c r="U1747" s="184"/>
      <c r="V1747" s="83" t="s">
        <v>79</v>
      </c>
      <c r="W1747" s="166"/>
      <c r="X1747" s="83" t="s">
        <v>80</v>
      </c>
      <c r="Y1747" s="55"/>
      <c r="Z1747" s="119" t="s">
        <v>79</v>
      </c>
      <c r="AA1747" s="168"/>
      <c r="AB1747" s="83" t="s">
        <v>80</v>
      </c>
      <c r="AC1747" s="184"/>
      <c r="AD1747" s="106" t="s">
        <v>3252</v>
      </c>
    </row>
    <row r="1748" spans="2:30" s="57" customFormat="1" ht="51">
      <c r="B1748" s="23" t="s">
        <v>3844</v>
      </c>
      <c r="D1748" s="23" t="s">
        <v>3347</v>
      </c>
      <c r="F1748" s="23" t="s">
        <v>254</v>
      </c>
      <c r="H1748" s="23" t="s">
        <v>654</v>
      </c>
      <c r="J1748" s="23" t="s">
        <v>411</v>
      </c>
      <c r="L1748" s="23" t="s">
        <v>737</v>
      </c>
      <c r="N1748" s="23" t="s">
        <v>96</v>
      </c>
      <c r="P1748" s="106" t="s">
        <v>3250</v>
      </c>
      <c r="R1748" s="23" t="s">
        <v>77</v>
      </c>
      <c r="T1748" s="124" t="s">
        <v>3251</v>
      </c>
      <c r="U1748" s="184"/>
      <c r="V1748" s="83" t="s">
        <v>79</v>
      </c>
      <c r="W1748" s="166"/>
      <c r="X1748" s="83" t="s">
        <v>80</v>
      </c>
      <c r="Y1748" s="55"/>
      <c r="Z1748" s="119" t="s">
        <v>79</v>
      </c>
      <c r="AA1748" s="168"/>
      <c r="AB1748" s="83" t="s">
        <v>80</v>
      </c>
      <c r="AC1748" s="184"/>
      <c r="AD1748" s="106" t="s">
        <v>3252</v>
      </c>
    </row>
    <row r="1749" spans="2:30" s="57" customFormat="1" ht="51">
      <c r="B1749" s="23" t="s">
        <v>3845</v>
      </c>
      <c r="D1749" s="23" t="s">
        <v>1214</v>
      </c>
      <c r="F1749" s="23" t="s">
        <v>254</v>
      </c>
      <c r="H1749" s="23" t="s">
        <v>116</v>
      </c>
      <c r="J1749" s="23" t="s">
        <v>411</v>
      </c>
      <c r="L1749" s="23" t="s">
        <v>737</v>
      </c>
      <c r="N1749" s="23" t="s">
        <v>96</v>
      </c>
      <c r="P1749" s="106" t="s">
        <v>3250</v>
      </c>
      <c r="R1749" s="23" t="s">
        <v>77</v>
      </c>
      <c r="T1749" s="124" t="s">
        <v>3251</v>
      </c>
      <c r="U1749" s="184"/>
      <c r="V1749" s="83" t="s">
        <v>79</v>
      </c>
      <c r="W1749" s="166"/>
      <c r="X1749" s="83" t="s">
        <v>80</v>
      </c>
      <c r="Y1749" s="55"/>
      <c r="Z1749" s="119" t="s">
        <v>79</v>
      </c>
      <c r="AA1749" s="168"/>
      <c r="AB1749" s="83" t="s">
        <v>80</v>
      </c>
      <c r="AC1749" s="184"/>
      <c r="AD1749" s="106" t="s">
        <v>3252</v>
      </c>
    </row>
    <row r="1750" spans="2:30" s="57" customFormat="1" ht="51">
      <c r="B1750" s="23" t="s">
        <v>3846</v>
      </c>
      <c r="D1750" s="23" t="s">
        <v>370</v>
      </c>
      <c r="F1750" s="23" t="s">
        <v>370</v>
      </c>
      <c r="H1750" s="23" t="s">
        <v>116</v>
      </c>
      <c r="J1750" s="23" t="s">
        <v>411</v>
      </c>
      <c r="L1750" s="23" t="s">
        <v>737</v>
      </c>
      <c r="N1750" s="23" t="s">
        <v>96</v>
      </c>
      <c r="P1750" s="106" t="s">
        <v>3250</v>
      </c>
      <c r="R1750" s="23" t="s">
        <v>77</v>
      </c>
      <c r="T1750" s="124" t="s">
        <v>3251</v>
      </c>
      <c r="U1750" s="184"/>
      <c r="V1750" s="83" t="s">
        <v>79</v>
      </c>
      <c r="W1750" s="166"/>
      <c r="X1750" s="83" t="s">
        <v>80</v>
      </c>
      <c r="Y1750" s="55"/>
      <c r="Z1750" s="119" t="s">
        <v>79</v>
      </c>
      <c r="AA1750" s="168"/>
      <c r="AB1750" s="83" t="s">
        <v>80</v>
      </c>
      <c r="AC1750" s="184"/>
      <c r="AD1750" s="106" t="s">
        <v>3252</v>
      </c>
    </row>
    <row r="1751" spans="2:30" s="57" customFormat="1" ht="51">
      <c r="B1751" s="23" t="s">
        <v>3847</v>
      </c>
      <c r="D1751" s="23" t="s">
        <v>362</v>
      </c>
      <c r="F1751" s="23" t="s">
        <v>363</v>
      </c>
      <c r="H1751" s="23" t="s">
        <v>654</v>
      </c>
      <c r="J1751" s="23" t="s">
        <v>411</v>
      </c>
      <c r="L1751" s="23" t="s">
        <v>737</v>
      </c>
      <c r="N1751" s="23" t="s">
        <v>96</v>
      </c>
      <c r="P1751" s="106" t="s">
        <v>3250</v>
      </c>
      <c r="R1751" s="23" t="s">
        <v>77</v>
      </c>
      <c r="T1751" s="124" t="s">
        <v>3251</v>
      </c>
      <c r="U1751" s="184"/>
      <c r="V1751" s="83" t="s">
        <v>79</v>
      </c>
      <c r="W1751" s="166"/>
      <c r="X1751" s="83" t="s">
        <v>80</v>
      </c>
      <c r="Y1751" s="55"/>
      <c r="Z1751" s="119" t="s">
        <v>79</v>
      </c>
      <c r="AA1751" s="168"/>
      <c r="AB1751" s="83" t="s">
        <v>80</v>
      </c>
      <c r="AC1751" s="184"/>
      <c r="AD1751" s="106" t="s">
        <v>3252</v>
      </c>
    </row>
    <row r="1752" spans="2:30" s="57" customFormat="1" ht="51">
      <c r="B1752" s="23" t="s">
        <v>3848</v>
      </c>
      <c r="D1752" s="23" t="s">
        <v>1137</v>
      </c>
      <c r="F1752" s="23" t="s">
        <v>254</v>
      </c>
      <c r="H1752" s="23" t="s">
        <v>116</v>
      </c>
      <c r="J1752" s="23" t="s">
        <v>411</v>
      </c>
      <c r="L1752" s="23" t="s">
        <v>737</v>
      </c>
      <c r="N1752" s="23" t="s">
        <v>96</v>
      </c>
      <c r="P1752" s="106" t="s">
        <v>3250</v>
      </c>
      <c r="R1752" s="23" t="s">
        <v>77</v>
      </c>
      <c r="T1752" s="124" t="s">
        <v>3251</v>
      </c>
      <c r="U1752" s="184"/>
      <c r="V1752" s="83" t="s">
        <v>79</v>
      </c>
      <c r="W1752" s="166"/>
      <c r="X1752" s="83" t="s">
        <v>80</v>
      </c>
      <c r="Y1752" s="55"/>
      <c r="Z1752" s="119" t="s">
        <v>79</v>
      </c>
      <c r="AA1752" s="168"/>
      <c r="AB1752" s="83" t="s">
        <v>80</v>
      </c>
      <c r="AC1752" s="184"/>
      <c r="AD1752" s="106" t="s">
        <v>3252</v>
      </c>
    </row>
    <row r="1753" spans="2:30" s="57" customFormat="1" ht="51">
      <c r="B1753" s="23" t="s">
        <v>3849</v>
      </c>
      <c r="D1753" s="23" t="s">
        <v>3850</v>
      </c>
      <c r="F1753" s="23" t="s">
        <v>370</v>
      </c>
      <c r="H1753" s="23" t="s">
        <v>116</v>
      </c>
      <c r="J1753" s="23" t="s">
        <v>411</v>
      </c>
      <c r="L1753" s="23" t="s">
        <v>737</v>
      </c>
      <c r="N1753" s="23" t="s">
        <v>96</v>
      </c>
      <c r="P1753" s="106" t="s">
        <v>3250</v>
      </c>
      <c r="R1753" s="23" t="s">
        <v>77</v>
      </c>
      <c r="T1753" s="124" t="s">
        <v>3251</v>
      </c>
      <c r="U1753" s="184"/>
      <c r="V1753" s="83" t="s">
        <v>79</v>
      </c>
      <c r="W1753" s="166"/>
      <c r="X1753" s="83" t="s">
        <v>80</v>
      </c>
      <c r="Y1753" s="55"/>
      <c r="Z1753" s="119" t="s">
        <v>79</v>
      </c>
      <c r="AA1753" s="168"/>
      <c r="AB1753" s="83" t="s">
        <v>80</v>
      </c>
      <c r="AC1753" s="184"/>
      <c r="AD1753" s="106" t="s">
        <v>3252</v>
      </c>
    </row>
    <row r="1754" spans="2:30" s="57" customFormat="1" ht="51">
      <c r="B1754" s="23" t="s">
        <v>3851</v>
      </c>
      <c r="D1754" s="23" t="s">
        <v>553</v>
      </c>
      <c r="F1754" s="23" t="s">
        <v>254</v>
      </c>
      <c r="H1754" s="23" t="s">
        <v>116</v>
      </c>
      <c r="J1754" s="23" t="s">
        <v>411</v>
      </c>
      <c r="L1754" s="23" t="s">
        <v>737</v>
      </c>
      <c r="N1754" s="23" t="s">
        <v>96</v>
      </c>
      <c r="P1754" s="106" t="s">
        <v>3250</v>
      </c>
      <c r="R1754" s="23" t="s">
        <v>77</v>
      </c>
      <c r="T1754" s="124" t="s">
        <v>3251</v>
      </c>
      <c r="U1754" s="184"/>
      <c r="V1754" s="83" t="s">
        <v>79</v>
      </c>
      <c r="W1754" s="166"/>
      <c r="X1754" s="83" t="s">
        <v>80</v>
      </c>
      <c r="Y1754" s="55"/>
      <c r="Z1754" s="119" t="s">
        <v>79</v>
      </c>
      <c r="AA1754" s="168"/>
      <c r="AB1754" s="83" t="s">
        <v>80</v>
      </c>
      <c r="AC1754" s="184"/>
      <c r="AD1754" s="106" t="s">
        <v>3252</v>
      </c>
    </row>
    <row r="1755" spans="2:30" s="57" customFormat="1" ht="51">
      <c r="B1755" s="23" t="s">
        <v>3852</v>
      </c>
      <c r="D1755" s="23" t="s">
        <v>1234</v>
      </c>
      <c r="F1755" s="23" t="s">
        <v>254</v>
      </c>
      <c r="H1755" s="23" t="s">
        <v>654</v>
      </c>
      <c r="J1755" s="23" t="s">
        <v>411</v>
      </c>
      <c r="L1755" s="23" t="s">
        <v>737</v>
      </c>
      <c r="N1755" s="23" t="s">
        <v>96</v>
      </c>
      <c r="P1755" s="106" t="s">
        <v>3250</v>
      </c>
      <c r="R1755" s="23" t="s">
        <v>77</v>
      </c>
      <c r="T1755" s="124" t="s">
        <v>3251</v>
      </c>
      <c r="U1755" s="184"/>
      <c r="V1755" s="83" t="s">
        <v>79</v>
      </c>
      <c r="W1755" s="166"/>
      <c r="X1755" s="83" t="s">
        <v>80</v>
      </c>
      <c r="Y1755" s="55"/>
      <c r="Z1755" s="119" t="s">
        <v>79</v>
      </c>
      <c r="AA1755" s="168"/>
      <c r="AB1755" s="83" t="s">
        <v>80</v>
      </c>
      <c r="AC1755" s="184"/>
      <c r="AD1755" s="106" t="s">
        <v>3252</v>
      </c>
    </row>
    <row r="1756" spans="2:30" s="57" customFormat="1" ht="51">
      <c r="B1756" s="23" t="s">
        <v>3853</v>
      </c>
      <c r="D1756" s="23" t="s">
        <v>2574</v>
      </c>
      <c r="F1756" s="23" t="s">
        <v>394</v>
      </c>
      <c r="H1756" s="23" t="s">
        <v>116</v>
      </c>
      <c r="J1756" s="23" t="s">
        <v>411</v>
      </c>
      <c r="L1756" s="23" t="s">
        <v>737</v>
      </c>
      <c r="N1756" s="23" t="s">
        <v>96</v>
      </c>
      <c r="P1756" s="106" t="s">
        <v>3250</v>
      </c>
      <c r="R1756" s="23" t="s">
        <v>77</v>
      </c>
      <c r="T1756" s="124" t="s">
        <v>3251</v>
      </c>
      <c r="U1756" s="184"/>
      <c r="V1756" s="83" t="s">
        <v>79</v>
      </c>
      <c r="W1756" s="166"/>
      <c r="X1756" s="83" t="s">
        <v>80</v>
      </c>
      <c r="Y1756" s="55"/>
      <c r="Z1756" s="119" t="s">
        <v>79</v>
      </c>
      <c r="AA1756" s="168"/>
      <c r="AB1756" s="83" t="s">
        <v>80</v>
      </c>
      <c r="AC1756" s="184"/>
      <c r="AD1756" s="106" t="s">
        <v>3252</v>
      </c>
    </row>
    <row r="1757" spans="2:30" s="57" customFormat="1" ht="51">
      <c r="B1757" s="23" t="s">
        <v>3854</v>
      </c>
      <c r="D1757" s="23" t="s">
        <v>702</v>
      </c>
      <c r="F1757" s="23" t="s">
        <v>370</v>
      </c>
      <c r="H1757" s="23" t="s">
        <v>654</v>
      </c>
      <c r="J1757" s="23" t="s">
        <v>411</v>
      </c>
      <c r="L1757" s="23" t="s">
        <v>737</v>
      </c>
      <c r="N1757" s="23" t="s">
        <v>96</v>
      </c>
      <c r="P1757" s="106" t="s">
        <v>3250</v>
      </c>
      <c r="R1757" s="23" t="s">
        <v>77</v>
      </c>
      <c r="T1757" s="124" t="s">
        <v>3251</v>
      </c>
      <c r="U1757" s="184"/>
      <c r="V1757" s="83" t="s">
        <v>79</v>
      </c>
      <c r="W1757" s="166"/>
      <c r="X1757" s="83" t="s">
        <v>80</v>
      </c>
      <c r="Y1757" s="55"/>
      <c r="Z1757" s="119" t="s">
        <v>79</v>
      </c>
      <c r="AA1757" s="168"/>
      <c r="AB1757" s="83" t="s">
        <v>80</v>
      </c>
      <c r="AC1757" s="184"/>
      <c r="AD1757" s="106" t="s">
        <v>3252</v>
      </c>
    </row>
    <row r="1758" spans="2:30" s="57" customFormat="1" ht="51">
      <c r="B1758" s="23" t="s">
        <v>3855</v>
      </c>
      <c r="D1758" s="23" t="s">
        <v>362</v>
      </c>
      <c r="F1758" s="23" t="s">
        <v>363</v>
      </c>
      <c r="H1758" s="23" t="s">
        <v>654</v>
      </c>
      <c r="J1758" s="23" t="s">
        <v>411</v>
      </c>
      <c r="L1758" s="23" t="s">
        <v>737</v>
      </c>
      <c r="N1758" s="23" t="s">
        <v>96</v>
      </c>
      <c r="P1758" s="106" t="s">
        <v>3250</v>
      </c>
      <c r="R1758" s="23" t="s">
        <v>77</v>
      </c>
      <c r="T1758" s="124" t="s">
        <v>3251</v>
      </c>
      <c r="U1758" s="184"/>
      <c r="V1758" s="83" t="s">
        <v>79</v>
      </c>
      <c r="W1758" s="166"/>
      <c r="X1758" s="83" t="s">
        <v>80</v>
      </c>
      <c r="Y1758" s="55"/>
      <c r="Z1758" s="119" t="s">
        <v>79</v>
      </c>
      <c r="AA1758" s="168"/>
      <c r="AB1758" s="83" t="s">
        <v>80</v>
      </c>
      <c r="AC1758" s="184"/>
      <c r="AD1758" s="106" t="s">
        <v>3252</v>
      </c>
    </row>
    <row r="1759" spans="2:30" s="57" customFormat="1" ht="51">
      <c r="B1759" s="23" t="s">
        <v>3856</v>
      </c>
      <c r="D1759" s="23" t="s">
        <v>702</v>
      </c>
      <c r="F1759" s="23" t="s">
        <v>370</v>
      </c>
      <c r="H1759" s="23" t="s">
        <v>116</v>
      </c>
      <c r="J1759" s="23" t="s">
        <v>411</v>
      </c>
      <c r="L1759" s="23" t="s">
        <v>737</v>
      </c>
      <c r="N1759" s="23" t="s">
        <v>96</v>
      </c>
      <c r="P1759" s="106" t="s">
        <v>3250</v>
      </c>
      <c r="R1759" s="23" t="s">
        <v>77</v>
      </c>
      <c r="T1759" s="124" t="s">
        <v>3251</v>
      </c>
      <c r="U1759" s="184"/>
      <c r="V1759" s="83" t="s">
        <v>79</v>
      </c>
      <c r="W1759" s="166"/>
      <c r="X1759" s="83" t="s">
        <v>80</v>
      </c>
      <c r="Y1759" s="55"/>
      <c r="Z1759" s="119" t="s">
        <v>79</v>
      </c>
      <c r="AA1759" s="168"/>
      <c r="AB1759" s="83" t="s">
        <v>80</v>
      </c>
      <c r="AC1759" s="184"/>
      <c r="AD1759" s="106" t="s">
        <v>3252</v>
      </c>
    </row>
    <row r="1760" spans="2:30" s="57" customFormat="1" ht="51">
      <c r="B1760" s="23" t="s">
        <v>3857</v>
      </c>
      <c r="D1760" s="23" t="s">
        <v>3858</v>
      </c>
      <c r="F1760" s="23" t="s">
        <v>254</v>
      </c>
      <c r="H1760" s="23" t="s">
        <v>116</v>
      </c>
      <c r="J1760" s="23" t="s">
        <v>411</v>
      </c>
      <c r="L1760" s="23" t="s">
        <v>737</v>
      </c>
      <c r="N1760" s="23" t="s">
        <v>96</v>
      </c>
      <c r="P1760" s="106" t="s">
        <v>3250</v>
      </c>
      <c r="R1760" s="23" t="s">
        <v>77</v>
      </c>
      <c r="T1760" s="124" t="s">
        <v>3251</v>
      </c>
      <c r="U1760" s="184"/>
      <c r="V1760" s="83" t="s">
        <v>79</v>
      </c>
      <c r="W1760" s="166"/>
      <c r="X1760" s="83" t="s">
        <v>80</v>
      </c>
      <c r="Y1760" s="55"/>
      <c r="Z1760" s="119" t="s">
        <v>79</v>
      </c>
      <c r="AA1760" s="168"/>
      <c r="AB1760" s="83" t="s">
        <v>80</v>
      </c>
      <c r="AC1760" s="184"/>
      <c r="AD1760" s="106" t="s">
        <v>3252</v>
      </c>
    </row>
    <row r="1761" spans="2:30" s="57" customFormat="1" ht="51">
      <c r="B1761" s="23" t="s">
        <v>3859</v>
      </c>
      <c r="D1761" s="23" t="s">
        <v>1732</v>
      </c>
      <c r="F1761" s="23" t="s">
        <v>254</v>
      </c>
      <c r="H1761" s="23" t="s">
        <v>116</v>
      </c>
      <c r="J1761" s="23" t="s">
        <v>411</v>
      </c>
      <c r="L1761" s="23" t="s">
        <v>737</v>
      </c>
      <c r="N1761" s="23" t="s">
        <v>96</v>
      </c>
      <c r="P1761" s="106" t="s">
        <v>3250</v>
      </c>
      <c r="R1761" s="23" t="s">
        <v>77</v>
      </c>
      <c r="T1761" s="124" t="s">
        <v>3251</v>
      </c>
      <c r="U1761" s="184"/>
      <c r="V1761" s="83" t="s">
        <v>79</v>
      </c>
      <c r="W1761" s="166"/>
      <c r="X1761" s="83" t="s">
        <v>80</v>
      </c>
      <c r="Y1761" s="55"/>
      <c r="Z1761" s="119" t="s">
        <v>79</v>
      </c>
      <c r="AA1761" s="168"/>
      <c r="AB1761" s="83" t="s">
        <v>80</v>
      </c>
      <c r="AC1761" s="184"/>
      <c r="AD1761" s="106" t="s">
        <v>3252</v>
      </c>
    </row>
    <row r="1762" spans="2:30" s="57" customFormat="1" ht="51">
      <c r="B1762" s="23" t="s">
        <v>3860</v>
      </c>
      <c r="D1762" s="23" t="s">
        <v>702</v>
      </c>
      <c r="F1762" s="23" t="s">
        <v>370</v>
      </c>
      <c r="H1762" s="23" t="s">
        <v>116</v>
      </c>
      <c r="J1762" s="23" t="s">
        <v>411</v>
      </c>
      <c r="L1762" s="23" t="s">
        <v>737</v>
      </c>
      <c r="N1762" s="23" t="s">
        <v>96</v>
      </c>
      <c r="P1762" s="106" t="s">
        <v>3250</v>
      </c>
      <c r="R1762" s="23" t="s">
        <v>77</v>
      </c>
      <c r="T1762" s="124" t="s">
        <v>3251</v>
      </c>
      <c r="U1762" s="184"/>
      <c r="V1762" s="83" t="s">
        <v>79</v>
      </c>
      <c r="W1762" s="166"/>
      <c r="X1762" s="83" t="s">
        <v>80</v>
      </c>
      <c r="Y1762" s="55"/>
      <c r="Z1762" s="119" t="s">
        <v>79</v>
      </c>
      <c r="AA1762" s="168"/>
      <c r="AB1762" s="83" t="s">
        <v>80</v>
      </c>
      <c r="AC1762" s="184"/>
      <c r="AD1762" s="106" t="s">
        <v>3252</v>
      </c>
    </row>
    <row r="1763" spans="2:30" s="57" customFormat="1" ht="51">
      <c r="B1763" s="23" t="s">
        <v>3861</v>
      </c>
      <c r="D1763" s="23" t="s">
        <v>343</v>
      </c>
      <c r="F1763" s="23" t="s">
        <v>254</v>
      </c>
      <c r="H1763" s="23" t="s">
        <v>116</v>
      </c>
      <c r="J1763" s="23" t="s">
        <v>411</v>
      </c>
      <c r="L1763" s="23" t="s">
        <v>737</v>
      </c>
      <c r="N1763" s="23" t="s">
        <v>96</v>
      </c>
      <c r="P1763" s="106" t="s">
        <v>3250</v>
      </c>
      <c r="R1763" s="23" t="s">
        <v>77</v>
      </c>
      <c r="T1763" s="124" t="s">
        <v>3251</v>
      </c>
      <c r="U1763" s="184"/>
      <c r="V1763" s="83" t="s">
        <v>79</v>
      </c>
      <c r="W1763" s="166"/>
      <c r="X1763" s="83" t="s">
        <v>80</v>
      </c>
      <c r="Y1763" s="55"/>
      <c r="Z1763" s="119" t="s">
        <v>79</v>
      </c>
      <c r="AA1763" s="168"/>
      <c r="AB1763" s="83" t="s">
        <v>80</v>
      </c>
      <c r="AC1763" s="184"/>
      <c r="AD1763" s="106" t="s">
        <v>3252</v>
      </c>
    </row>
    <row r="1764" spans="2:30" s="57" customFormat="1" ht="51">
      <c r="B1764" s="23" t="s">
        <v>3862</v>
      </c>
      <c r="D1764" s="23" t="s">
        <v>1234</v>
      </c>
      <c r="F1764" s="23" t="s">
        <v>254</v>
      </c>
      <c r="H1764" s="23" t="s">
        <v>116</v>
      </c>
      <c r="J1764" s="23" t="s">
        <v>411</v>
      </c>
      <c r="L1764" s="23" t="s">
        <v>737</v>
      </c>
      <c r="N1764" s="23" t="s">
        <v>96</v>
      </c>
      <c r="P1764" s="106" t="s">
        <v>3250</v>
      </c>
      <c r="R1764" s="23" t="s">
        <v>77</v>
      </c>
      <c r="T1764" s="124" t="s">
        <v>3251</v>
      </c>
      <c r="U1764" s="184"/>
      <c r="V1764" s="83" t="s">
        <v>79</v>
      </c>
      <c r="W1764" s="166"/>
      <c r="X1764" s="83" t="s">
        <v>80</v>
      </c>
      <c r="Y1764" s="55"/>
      <c r="Z1764" s="119" t="s">
        <v>79</v>
      </c>
      <c r="AA1764" s="168"/>
      <c r="AB1764" s="83" t="s">
        <v>80</v>
      </c>
      <c r="AC1764" s="184"/>
      <c r="AD1764" s="106" t="s">
        <v>3252</v>
      </c>
    </row>
    <row r="1765" spans="2:30" s="57" customFormat="1" ht="51">
      <c r="B1765" s="23" t="s">
        <v>3863</v>
      </c>
      <c r="D1765" s="23" t="s">
        <v>1434</v>
      </c>
      <c r="F1765" s="23" t="s">
        <v>254</v>
      </c>
      <c r="H1765" s="23" t="s">
        <v>116</v>
      </c>
      <c r="J1765" s="23" t="s">
        <v>411</v>
      </c>
      <c r="L1765" s="23" t="s">
        <v>737</v>
      </c>
      <c r="N1765" s="23" t="s">
        <v>96</v>
      </c>
      <c r="P1765" s="106" t="s">
        <v>3250</v>
      </c>
      <c r="R1765" s="23" t="s">
        <v>77</v>
      </c>
      <c r="T1765" s="124" t="s">
        <v>3251</v>
      </c>
      <c r="U1765" s="184"/>
      <c r="V1765" s="83" t="s">
        <v>79</v>
      </c>
      <c r="W1765" s="166"/>
      <c r="X1765" s="83" t="s">
        <v>80</v>
      </c>
      <c r="Y1765" s="55"/>
      <c r="Z1765" s="119" t="s">
        <v>79</v>
      </c>
      <c r="AA1765" s="168"/>
      <c r="AB1765" s="83" t="s">
        <v>80</v>
      </c>
      <c r="AC1765" s="184"/>
      <c r="AD1765" s="106" t="s">
        <v>3252</v>
      </c>
    </row>
    <row r="1766" spans="2:30" s="57" customFormat="1" ht="51">
      <c r="B1766" s="23" t="s">
        <v>3864</v>
      </c>
      <c r="D1766" s="23" t="s">
        <v>1414</v>
      </c>
      <c r="F1766" s="23" t="s">
        <v>254</v>
      </c>
      <c r="H1766" s="23" t="s">
        <v>654</v>
      </c>
      <c r="J1766" s="23" t="s">
        <v>411</v>
      </c>
      <c r="L1766" s="23" t="s">
        <v>737</v>
      </c>
      <c r="N1766" s="23" t="s">
        <v>96</v>
      </c>
      <c r="P1766" s="106" t="s">
        <v>3250</v>
      </c>
      <c r="R1766" s="23" t="s">
        <v>77</v>
      </c>
      <c r="T1766" s="124" t="s">
        <v>3251</v>
      </c>
      <c r="U1766" s="184"/>
      <c r="V1766" s="83" t="s">
        <v>79</v>
      </c>
      <c r="W1766" s="166"/>
      <c r="X1766" s="83" t="s">
        <v>80</v>
      </c>
      <c r="Y1766" s="55"/>
      <c r="Z1766" s="119" t="s">
        <v>79</v>
      </c>
      <c r="AA1766" s="168"/>
      <c r="AB1766" s="83" t="s">
        <v>80</v>
      </c>
      <c r="AC1766" s="184"/>
      <c r="AD1766" s="106" t="s">
        <v>3252</v>
      </c>
    </row>
    <row r="1767" spans="2:30" s="57" customFormat="1" ht="51">
      <c r="B1767" s="23" t="s">
        <v>3865</v>
      </c>
      <c r="D1767" s="23" t="s">
        <v>702</v>
      </c>
      <c r="F1767" s="23" t="s">
        <v>370</v>
      </c>
      <c r="H1767" s="23" t="s">
        <v>116</v>
      </c>
      <c r="J1767" s="23" t="s">
        <v>411</v>
      </c>
      <c r="L1767" s="23" t="s">
        <v>737</v>
      </c>
      <c r="N1767" s="23" t="s">
        <v>96</v>
      </c>
      <c r="P1767" s="106" t="s">
        <v>3250</v>
      </c>
      <c r="R1767" s="23" t="s">
        <v>77</v>
      </c>
      <c r="T1767" s="124" t="s">
        <v>3251</v>
      </c>
      <c r="U1767" s="184"/>
      <c r="V1767" s="83" t="s">
        <v>79</v>
      </c>
      <c r="W1767" s="166"/>
      <c r="X1767" s="83" t="s">
        <v>80</v>
      </c>
      <c r="Y1767" s="55"/>
      <c r="Z1767" s="119" t="s">
        <v>79</v>
      </c>
      <c r="AA1767" s="168"/>
      <c r="AB1767" s="83" t="s">
        <v>80</v>
      </c>
      <c r="AC1767" s="184"/>
      <c r="AD1767" s="106" t="s">
        <v>3252</v>
      </c>
    </row>
    <row r="1768" spans="2:30" s="57" customFormat="1" ht="51">
      <c r="B1768" s="23" t="s">
        <v>3866</v>
      </c>
      <c r="D1768" s="23" t="s">
        <v>2480</v>
      </c>
      <c r="F1768" s="23" t="s">
        <v>363</v>
      </c>
      <c r="H1768" s="23" t="s">
        <v>116</v>
      </c>
      <c r="J1768" s="23" t="s">
        <v>411</v>
      </c>
      <c r="L1768" s="23" t="s">
        <v>737</v>
      </c>
      <c r="N1768" s="23" t="s">
        <v>96</v>
      </c>
      <c r="P1768" s="106" t="s">
        <v>3250</v>
      </c>
      <c r="R1768" s="23" t="s">
        <v>77</v>
      </c>
      <c r="T1768" s="124" t="s">
        <v>3251</v>
      </c>
      <c r="U1768" s="184"/>
      <c r="V1768" s="83" t="s">
        <v>79</v>
      </c>
      <c r="W1768" s="166"/>
      <c r="X1768" s="83" t="s">
        <v>80</v>
      </c>
      <c r="Y1768" s="55"/>
      <c r="Z1768" s="119" t="s">
        <v>79</v>
      </c>
      <c r="AA1768" s="168"/>
      <c r="AB1768" s="83" t="s">
        <v>80</v>
      </c>
      <c r="AC1768" s="184"/>
      <c r="AD1768" s="106" t="s">
        <v>3252</v>
      </c>
    </row>
    <row r="1769" spans="2:30" s="57" customFormat="1" ht="51">
      <c r="B1769" s="23" t="s">
        <v>3867</v>
      </c>
      <c r="D1769" s="23" t="s">
        <v>2574</v>
      </c>
      <c r="F1769" s="23" t="s">
        <v>394</v>
      </c>
      <c r="H1769" s="23" t="s">
        <v>116</v>
      </c>
      <c r="J1769" s="23" t="s">
        <v>411</v>
      </c>
      <c r="L1769" s="23" t="s">
        <v>737</v>
      </c>
      <c r="N1769" s="23" t="s">
        <v>96</v>
      </c>
      <c r="P1769" s="106" t="s">
        <v>3250</v>
      </c>
      <c r="R1769" s="23" t="s">
        <v>77</v>
      </c>
      <c r="T1769" s="124" t="s">
        <v>3251</v>
      </c>
      <c r="U1769" s="184"/>
      <c r="V1769" s="83" t="s">
        <v>79</v>
      </c>
      <c r="W1769" s="166"/>
      <c r="X1769" s="83" t="s">
        <v>80</v>
      </c>
      <c r="Y1769" s="55"/>
      <c r="Z1769" s="119" t="s">
        <v>79</v>
      </c>
      <c r="AA1769" s="168"/>
      <c r="AB1769" s="83" t="s">
        <v>80</v>
      </c>
      <c r="AC1769" s="184"/>
      <c r="AD1769" s="106" t="s">
        <v>3252</v>
      </c>
    </row>
    <row r="1770" spans="2:30" s="57" customFormat="1" ht="51">
      <c r="B1770" s="23" t="s">
        <v>3868</v>
      </c>
      <c r="D1770" s="23" t="s">
        <v>2590</v>
      </c>
      <c r="F1770" s="23" t="s">
        <v>394</v>
      </c>
      <c r="H1770" s="23" t="s">
        <v>116</v>
      </c>
      <c r="J1770" s="23" t="s">
        <v>411</v>
      </c>
      <c r="L1770" s="23" t="s">
        <v>737</v>
      </c>
      <c r="N1770" s="23" t="s">
        <v>96</v>
      </c>
      <c r="P1770" s="106" t="s">
        <v>3250</v>
      </c>
      <c r="R1770" s="23" t="s">
        <v>77</v>
      </c>
      <c r="T1770" s="124" t="s">
        <v>3251</v>
      </c>
      <c r="U1770" s="184"/>
      <c r="V1770" s="83" t="s">
        <v>79</v>
      </c>
      <c r="W1770" s="166"/>
      <c r="X1770" s="83" t="s">
        <v>80</v>
      </c>
      <c r="Y1770" s="55"/>
      <c r="Z1770" s="119" t="s">
        <v>79</v>
      </c>
      <c r="AA1770" s="168"/>
      <c r="AB1770" s="83" t="s">
        <v>80</v>
      </c>
      <c r="AC1770" s="184"/>
      <c r="AD1770" s="106" t="s">
        <v>3252</v>
      </c>
    </row>
    <row r="1771" spans="2:30" s="57" customFormat="1" ht="51">
      <c r="B1771" s="23" t="s">
        <v>3869</v>
      </c>
      <c r="D1771" s="23" t="s">
        <v>362</v>
      </c>
      <c r="F1771" s="23" t="s">
        <v>363</v>
      </c>
      <c r="H1771" s="23" t="s">
        <v>116</v>
      </c>
      <c r="J1771" s="23" t="s">
        <v>411</v>
      </c>
      <c r="L1771" s="23" t="s">
        <v>737</v>
      </c>
      <c r="N1771" s="23" t="s">
        <v>96</v>
      </c>
      <c r="P1771" s="106" t="s">
        <v>3250</v>
      </c>
      <c r="R1771" s="23" t="s">
        <v>77</v>
      </c>
      <c r="T1771" s="124" t="s">
        <v>3251</v>
      </c>
      <c r="U1771" s="184"/>
      <c r="V1771" s="83" t="s">
        <v>79</v>
      </c>
      <c r="W1771" s="166"/>
      <c r="X1771" s="83" t="s">
        <v>80</v>
      </c>
      <c r="Y1771" s="55"/>
      <c r="Z1771" s="119" t="s">
        <v>79</v>
      </c>
      <c r="AA1771" s="168"/>
      <c r="AB1771" s="83" t="s">
        <v>80</v>
      </c>
      <c r="AC1771" s="184"/>
      <c r="AD1771" s="106" t="s">
        <v>3252</v>
      </c>
    </row>
    <row r="1772" spans="2:30" s="57" customFormat="1" ht="51">
      <c r="B1772" s="23" t="s">
        <v>3870</v>
      </c>
      <c r="D1772" s="23" t="s">
        <v>1137</v>
      </c>
      <c r="F1772" s="23" t="s">
        <v>254</v>
      </c>
      <c r="H1772" s="23" t="s">
        <v>654</v>
      </c>
      <c r="J1772" s="23" t="s">
        <v>411</v>
      </c>
      <c r="L1772" s="23" t="s">
        <v>737</v>
      </c>
      <c r="N1772" s="23" t="s">
        <v>96</v>
      </c>
      <c r="P1772" s="106" t="s">
        <v>3250</v>
      </c>
      <c r="R1772" s="23" t="s">
        <v>77</v>
      </c>
      <c r="T1772" s="124" t="s">
        <v>3251</v>
      </c>
      <c r="U1772" s="184"/>
      <c r="V1772" s="83" t="s">
        <v>79</v>
      </c>
      <c r="W1772" s="166"/>
      <c r="X1772" s="83" t="s">
        <v>80</v>
      </c>
      <c r="Y1772" s="55"/>
      <c r="Z1772" s="119" t="s">
        <v>79</v>
      </c>
      <c r="AA1772" s="168"/>
      <c r="AB1772" s="83" t="s">
        <v>80</v>
      </c>
      <c r="AC1772" s="184"/>
      <c r="AD1772" s="106" t="s">
        <v>3252</v>
      </c>
    </row>
    <row r="1773" spans="2:30" s="57" customFormat="1" ht="51">
      <c r="B1773" s="23" t="s">
        <v>3871</v>
      </c>
      <c r="D1773" s="23" t="s">
        <v>702</v>
      </c>
      <c r="F1773" s="23" t="s">
        <v>370</v>
      </c>
      <c r="H1773" s="23" t="s">
        <v>654</v>
      </c>
      <c r="J1773" s="23" t="s">
        <v>411</v>
      </c>
      <c r="L1773" s="23" t="s">
        <v>737</v>
      </c>
      <c r="N1773" s="23" t="s">
        <v>96</v>
      </c>
      <c r="P1773" s="106" t="s">
        <v>3250</v>
      </c>
      <c r="R1773" s="23" t="s">
        <v>77</v>
      </c>
      <c r="T1773" s="124" t="s">
        <v>3251</v>
      </c>
      <c r="U1773" s="184"/>
      <c r="V1773" s="83" t="s">
        <v>79</v>
      </c>
      <c r="W1773" s="166"/>
      <c r="X1773" s="83" t="s">
        <v>80</v>
      </c>
      <c r="Y1773" s="55"/>
      <c r="Z1773" s="119" t="s">
        <v>79</v>
      </c>
      <c r="AA1773" s="168"/>
      <c r="AB1773" s="83" t="s">
        <v>80</v>
      </c>
      <c r="AC1773" s="184"/>
      <c r="AD1773" s="106" t="s">
        <v>3252</v>
      </c>
    </row>
    <row r="1774" spans="2:30" s="57" customFormat="1" ht="51">
      <c r="B1774" s="23" t="s">
        <v>3872</v>
      </c>
      <c r="D1774" s="23" t="s">
        <v>370</v>
      </c>
      <c r="F1774" s="23" t="s">
        <v>3811</v>
      </c>
      <c r="H1774" s="23" t="s">
        <v>654</v>
      </c>
      <c r="J1774" s="23" t="s">
        <v>411</v>
      </c>
      <c r="L1774" s="23" t="s">
        <v>737</v>
      </c>
      <c r="N1774" s="23" t="s">
        <v>96</v>
      </c>
      <c r="P1774" s="106" t="s">
        <v>3250</v>
      </c>
      <c r="R1774" s="23" t="s">
        <v>77</v>
      </c>
      <c r="T1774" s="124" t="s">
        <v>3251</v>
      </c>
      <c r="U1774" s="184"/>
      <c r="V1774" s="83" t="s">
        <v>79</v>
      </c>
      <c r="W1774" s="166"/>
      <c r="X1774" s="83" t="s">
        <v>80</v>
      </c>
      <c r="Y1774" s="55"/>
      <c r="Z1774" s="119" t="s">
        <v>79</v>
      </c>
      <c r="AA1774" s="168"/>
      <c r="AB1774" s="83" t="s">
        <v>80</v>
      </c>
      <c r="AC1774" s="184"/>
      <c r="AD1774" s="106" t="s">
        <v>3252</v>
      </c>
    </row>
    <row r="1775" spans="2:30" s="57" customFormat="1" ht="51">
      <c r="B1775" s="23" t="s">
        <v>3873</v>
      </c>
      <c r="D1775" s="23" t="s">
        <v>702</v>
      </c>
      <c r="F1775" s="23" t="s">
        <v>370</v>
      </c>
      <c r="H1775" s="23" t="s">
        <v>654</v>
      </c>
      <c r="J1775" s="23" t="s">
        <v>411</v>
      </c>
      <c r="L1775" s="23" t="s">
        <v>737</v>
      </c>
      <c r="N1775" s="23" t="s">
        <v>96</v>
      </c>
      <c r="P1775" s="106" t="s">
        <v>3250</v>
      </c>
      <c r="R1775" s="23" t="s">
        <v>77</v>
      </c>
      <c r="T1775" s="124" t="s">
        <v>3251</v>
      </c>
      <c r="U1775" s="184"/>
      <c r="V1775" s="83" t="s">
        <v>79</v>
      </c>
      <c r="W1775" s="166"/>
      <c r="X1775" s="83" t="s">
        <v>80</v>
      </c>
      <c r="Y1775" s="55"/>
      <c r="Z1775" s="119" t="s">
        <v>79</v>
      </c>
      <c r="AA1775" s="168"/>
      <c r="AB1775" s="83" t="s">
        <v>80</v>
      </c>
      <c r="AC1775" s="184"/>
      <c r="AD1775" s="106" t="s">
        <v>3252</v>
      </c>
    </row>
    <row r="1776" spans="2:30" s="57" customFormat="1" ht="51">
      <c r="B1776" s="23" t="s">
        <v>3874</v>
      </c>
      <c r="D1776" s="23" t="s">
        <v>3306</v>
      </c>
      <c r="F1776" s="23" t="s">
        <v>254</v>
      </c>
      <c r="H1776" s="23" t="s">
        <v>116</v>
      </c>
      <c r="J1776" s="23" t="s">
        <v>411</v>
      </c>
      <c r="L1776" s="23" t="s">
        <v>737</v>
      </c>
      <c r="N1776" s="23" t="s">
        <v>96</v>
      </c>
      <c r="P1776" s="106" t="s">
        <v>3250</v>
      </c>
      <c r="R1776" s="23" t="s">
        <v>77</v>
      </c>
      <c r="T1776" s="124" t="s">
        <v>3251</v>
      </c>
      <c r="U1776" s="184"/>
      <c r="V1776" s="83" t="s">
        <v>79</v>
      </c>
      <c r="W1776" s="166"/>
      <c r="X1776" s="83" t="s">
        <v>80</v>
      </c>
      <c r="Y1776" s="55"/>
      <c r="Z1776" s="119" t="s">
        <v>79</v>
      </c>
      <c r="AA1776" s="168"/>
      <c r="AB1776" s="83" t="s">
        <v>80</v>
      </c>
      <c r="AC1776" s="184"/>
      <c r="AD1776" s="106" t="s">
        <v>3252</v>
      </c>
    </row>
    <row r="1777" spans="2:30" s="57" customFormat="1" ht="51">
      <c r="B1777" s="23" t="s">
        <v>3875</v>
      </c>
      <c r="D1777" s="23" t="s">
        <v>1515</v>
      </c>
      <c r="F1777" s="23" t="s">
        <v>254</v>
      </c>
      <c r="H1777" s="23" t="s">
        <v>116</v>
      </c>
      <c r="J1777" s="23" t="s">
        <v>411</v>
      </c>
      <c r="L1777" s="23" t="s">
        <v>737</v>
      </c>
      <c r="N1777" s="23" t="s">
        <v>96</v>
      </c>
      <c r="P1777" s="106" t="s">
        <v>3250</v>
      </c>
      <c r="R1777" s="23" t="s">
        <v>77</v>
      </c>
      <c r="T1777" s="124" t="s">
        <v>3251</v>
      </c>
      <c r="U1777" s="184"/>
      <c r="V1777" s="83" t="s">
        <v>79</v>
      </c>
      <c r="W1777" s="166"/>
      <c r="X1777" s="83" t="s">
        <v>80</v>
      </c>
      <c r="Y1777" s="55"/>
      <c r="Z1777" s="119" t="s">
        <v>79</v>
      </c>
      <c r="AA1777" s="168"/>
      <c r="AB1777" s="83" t="s">
        <v>80</v>
      </c>
      <c r="AC1777" s="184"/>
      <c r="AD1777" s="106" t="s">
        <v>3252</v>
      </c>
    </row>
    <row r="1778" spans="2:30" s="57" customFormat="1" ht="51">
      <c r="B1778" s="23" t="s">
        <v>3876</v>
      </c>
      <c r="D1778" s="23" t="s">
        <v>1612</v>
      </c>
      <c r="F1778" s="23" t="s">
        <v>254</v>
      </c>
      <c r="H1778" s="23" t="s">
        <v>116</v>
      </c>
      <c r="J1778" s="23" t="s">
        <v>411</v>
      </c>
      <c r="L1778" s="23" t="s">
        <v>737</v>
      </c>
      <c r="N1778" s="23" t="s">
        <v>96</v>
      </c>
      <c r="P1778" s="106" t="s">
        <v>3250</v>
      </c>
      <c r="R1778" s="23" t="s">
        <v>77</v>
      </c>
      <c r="T1778" s="124" t="s">
        <v>3251</v>
      </c>
      <c r="U1778" s="184"/>
      <c r="V1778" s="83" t="s">
        <v>79</v>
      </c>
      <c r="W1778" s="166"/>
      <c r="X1778" s="83" t="s">
        <v>80</v>
      </c>
      <c r="Y1778" s="55"/>
      <c r="Z1778" s="119" t="s">
        <v>79</v>
      </c>
      <c r="AA1778" s="168"/>
      <c r="AB1778" s="83" t="s">
        <v>80</v>
      </c>
      <c r="AC1778" s="184"/>
      <c r="AD1778" s="106" t="s">
        <v>3252</v>
      </c>
    </row>
    <row r="1779" spans="2:30" s="57" customFormat="1" ht="51">
      <c r="B1779" s="23" t="s">
        <v>3877</v>
      </c>
      <c r="D1779" s="23" t="s">
        <v>1515</v>
      </c>
      <c r="F1779" s="23" t="s">
        <v>254</v>
      </c>
      <c r="H1779" s="23" t="s">
        <v>116</v>
      </c>
      <c r="J1779" s="23" t="s">
        <v>411</v>
      </c>
      <c r="L1779" s="23" t="s">
        <v>737</v>
      </c>
      <c r="N1779" s="23" t="s">
        <v>96</v>
      </c>
      <c r="P1779" s="106" t="s">
        <v>3250</v>
      </c>
      <c r="R1779" s="23" t="s">
        <v>77</v>
      </c>
      <c r="T1779" s="124" t="s">
        <v>3251</v>
      </c>
      <c r="U1779" s="184"/>
      <c r="V1779" s="83" t="s">
        <v>79</v>
      </c>
      <c r="W1779" s="166"/>
      <c r="X1779" s="83" t="s">
        <v>80</v>
      </c>
      <c r="Y1779" s="55"/>
      <c r="Z1779" s="119" t="s">
        <v>79</v>
      </c>
      <c r="AA1779" s="168"/>
      <c r="AB1779" s="83" t="s">
        <v>80</v>
      </c>
      <c r="AC1779" s="184"/>
      <c r="AD1779" s="106" t="s">
        <v>3252</v>
      </c>
    </row>
    <row r="1780" spans="2:30" s="57" customFormat="1" ht="51">
      <c r="B1780" s="23" t="s">
        <v>3878</v>
      </c>
      <c r="D1780" s="23" t="s">
        <v>2574</v>
      </c>
      <c r="F1780" s="23" t="s">
        <v>394</v>
      </c>
      <c r="H1780" s="23" t="s">
        <v>654</v>
      </c>
      <c r="J1780" s="23" t="s">
        <v>411</v>
      </c>
      <c r="L1780" s="23" t="s">
        <v>737</v>
      </c>
      <c r="N1780" s="23" t="s">
        <v>96</v>
      </c>
      <c r="P1780" s="106" t="s">
        <v>3250</v>
      </c>
      <c r="R1780" s="23" t="s">
        <v>77</v>
      </c>
      <c r="T1780" s="124" t="s">
        <v>3251</v>
      </c>
      <c r="U1780" s="184"/>
      <c r="V1780" s="83" t="s">
        <v>79</v>
      </c>
      <c r="W1780" s="166"/>
      <c r="X1780" s="83" t="s">
        <v>80</v>
      </c>
      <c r="Y1780" s="55"/>
      <c r="Z1780" s="119" t="s">
        <v>79</v>
      </c>
      <c r="AA1780" s="168"/>
      <c r="AB1780" s="83" t="s">
        <v>80</v>
      </c>
      <c r="AC1780" s="184"/>
      <c r="AD1780" s="106" t="s">
        <v>3252</v>
      </c>
    </row>
    <row r="1781" spans="2:30" s="57" customFormat="1" ht="51">
      <c r="B1781" s="23" t="s">
        <v>3879</v>
      </c>
      <c r="D1781" s="23" t="s">
        <v>1414</v>
      </c>
      <c r="F1781" s="23" t="s">
        <v>254</v>
      </c>
      <c r="H1781" s="23" t="s">
        <v>116</v>
      </c>
      <c r="J1781" s="23" t="s">
        <v>411</v>
      </c>
      <c r="L1781" s="23" t="s">
        <v>737</v>
      </c>
      <c r="N1781" s="23" t="s">
        <v>96</v>
      </c>
      <c r="P1781" s="106" t="s">
        <v>3250</v>
      </c>
      <c r="R1781" s="23" t="s">
        <v>77</v>
      </c>
      <c r="T1781" s="124" t="s">
        <v>3251</v>
      </c>
      <c r="U1781" s="184"/>
      <c r="V1781" s="83" t="s">
        <v>79</v>
      </c>
      <c r="W1781" s="166"/>
      <c r="X1781" s="83" t="s">
        <v>80</v>
      </c>
      <c r="Y1781" s="55"/>
      <c r="Z1781" s="119" t="s">
        <v>79</v>
      </c>
      <c r="AA1781" s="168"/>
      <c r="AB1781" s="83" t="s">
        <v>80</v>
      </c>
      <c r="AC1781" s="184"/>
      <c r="AD1781" s="106" t="s">
        <v>3252</v>
      </c>
    </row>
    <row r="1782" spans="2:30" s="57" customFormat="1" ht="51">
      <c r="B1782" s="23" t="s">
        <v>3880</v>
      </c>
      <c r="D1782" s="23" t="s">
        <v>1612</v>
      </c>
      <c r="F1782" s="23" t="s">
        <v>254</v>
      </c>
      <c r="H1782" s="23" t="s">
        <v>116</v>
      </c>
      <c r="J1782" s="23" t="s">
        <v>411</v>
      </c>
      <c r="L1782" s="23" t="s">
        <v>737</v>
      </c>
      <c r="N1782" s="23" t="s">
        <v>96</v>
      </c>
      <c r="P1782" s="106" t="s">
        <v>3250</v>
      </c>
      <c r="R1782" s="23" t="s">
        <v>77</v>
      </c>
      <c r="T1782" s="124" t="s">
        <v>3881</v>
      </c>
      <c r="U1782" s="184"/>
      <c r="V1782" s="83" t="s">
        <v>79</v>
      </c>
      <c r="W1782" s="166"/>
      <c r="X1782" s="83" t="s">
        <v>80</v>
      </c>
      <c r="Y1782" s="55"/>
      <c r="Z1782" s="119" t="s">
        <v>79</v>
      </c>
      <c r="AA1782" s="168"/>
      <c r="AB1782" s="83" t="s">
        <v>80</v>
      </c>
      <c r="AC1782" s="184"/>
      <c r="AD1782" s="106" t="s">
        <v>3252</v>
      </c>
    </row>
    <row r="1783" spans="2:30" s="57" customFormat="1" ht="51">
      <c r="B1783" s="23" t="s">
        <v>3844</v>
      </c>
      <c r="D1783" s="23" t="s">
        <v>3347</v>
      </c>
      <c r="F1783" s="23" t="s">
        <v>254</v>
      </c>
      <c r="H1783" s="23" t="s">
        <v>654</v>
      </c>
      <c r="J1783" s="23" t="s">
        <v>411</v>
      </c>
      <c r="L1783" s="23" t="s">
        <v>737</v>
      </c>
      <c r="N1783" s="23" t="s">
        <v>96</v>
      </c>
      <c r="P1783" s="106" t="s">
        <v>3250</v>
      </c>
      <c r="R1783" s="23" t="s">
        <v>77</v>
      </c>
      <c r="T1783" s="124" t="s">
        <v>3882</v>
      </c>
      <c r="U1783" s="184"/>
      <c r="V1783" s="83" t="s">
        <v>79</v>
      </c>
      <c r="W1783" s="166"/>
      <c r="X1783" s="83" t="s">
        <v>80</v>
      </c>
      <c r="Y1783" s="55"/>
      <c r="Z1783" s="119" t="s">
        <v>79</v>
      </c>
      <c r="AA1783" s="168"/>
      <c r="AB1783" s="83" t="s">
        <v>80</v>
      </c>
      <c r="AC1783" s="184"/>
      <c r="AD1783" s="106" t="s">
        <v>3252</v>
      </c>
    </row>
    <row r="1784" spans="2:30" s="57" customFormat="1" ht="51">
      <c r="B1784" s="23" t="s">
        <v>3883</v>
      </c>
      <c r="D1784" s="23" t="s">
        <v>1214</v>
      </c>
      <c r="F1784" s="23" t="s">
        <v>254</v>
      </c>
      <c r="H1784" s="23" t="s">
        <v>116</v>
      </c>
      <c r="J1784" s="23" t="s">
        <v>411</v>
      </c>
      <c r="L1784" s="23" t="s">
        <v>737</v>
      </c>
      <c r="N1784" s="23" t="s">
        <v>96</v>
      </c>
      <c r="P1784" s="106" t="s">
        <v>3250</v>
      </c>
      <c r="R1784" s="23" t="s">
        <v>77</v>
      </c>
      <c r="T1784" s="124" t="s">
        <v>3884</v>
      </c>
      <c r="U1784" s="184"/>
      <c r="V1784" s="83" t="s">
        <v>79</v>
      </c>
      <c r="W1784" s="166"/>
      <c r="X1784" s="83" t="s">
        <v>80</v>
      </c>
      <c r="Y1784" s="55"/>
      <c r="Z1784" s="119" t="s">
        <v>79</v>
      </c>
      <c r="AA1784" s="168"/>
      <c r="AB1784" s="83" t="s">
        <v>80</v>
      </c>
      <c r="AC1784" s="184"/>
      <c r="AD1784" s="106" t="s">
        <v>3252</v>
      </c>
    </row>
    <row r="1785" spans="2:30" s="57" customFormat="1" ht="51">
      <c r="B1785" s="23" t="s">
        <v>3885</v>
      </c>
      <c r="D1785" s="23" t="s">
        <v>1515</v>
      </c>
      <c r="F1785" s="23" t="s">
        <v>254</v>
      </c>
      <c r="H1785" s="23" t="s">
        <v>116</v>
      </c>
      <c r="J1785" s="23" t="s">
        <v>411</v>
      </c>
      <c r="L1785" s="23" t="s">
        <v>737</v>
      </c>
      <c r="N1785" s="23" t="s">
        <v>96</v>
      </c>
      <c r="P1785" s="106" t="s">
        <v>3250</v>
      </c>
      <c r="R1785" s="23" t="s">
        <v>77</v>
      </c>
      <c r="T1785" s="124" t="s">
        <v>3886</v>
      </c>
      <c r="U1785" s="184"/>
      <c r="V1785" s="83" t="s">
        <v>79</v>
      </c>
      <c r="W1785" s="166"/>
      <c r="X1785" s="83" t="s">
        <v>80</v>
      </c>
      <c r="Y1785" s="55"/>
      <c r="Z1785" s="119" t="s">
        <v>79</v>
      </c>
      <c r="AA1785" s="168"/>
      <c r="AB1785" s="83" t="s">
        <v>80</v>
      </c>
      <c r="AC1785" s="184"/>
      <c r="AD1785" s="106" t="s">
        <v>3252</v>
      </c>
    </row>
    <row r="1786" spans="2:30" s="57" customFormat="1" ht="51">
      <c r="B1786" s="23" t="s">
        <v>3887</v>
      </c>
      <c r="D1786" s="23" t="s">
        <v>3605</v>
      </c>
      <c r="F1786" s="23" t="s">
        <v>254</v>
      </c>
      <c r="H1786" s="23" t="s">
        <v>3888</v>
      </c>
      <c r="J1786" s="23" t="s">
        <v>411</v>
      </c>
      <c r="L1786" s="23" t="s">
        <v>737</v>
      </c>
      <c r="N1786" s="23" t="s">
        <v>96</v>
      </c>
      <c r="P1786" s="106" t="s">
        <v>3250</v>
      </c>
      <c r="R1786" s="23" t="s">
        <v>77</v>
      </c>
      <c r="T1786" s="124" t="s">
        <v>3889</v>
      </c>
      <c r="U1786" s="184"/>
      <c r="V1786" s="83" t="s">
        <v>79</v>
      </c>
      <c r="W1786" s="166"/>
      <c r="X1786" s="83" t="s">
        <v>80</v>
      </c>
      <c r="Y1786" s="55"/>
      <c r="Z1786" s="119" t="s">
        <v>79</v>
      </c>
      <c r="AA1786" s="168"/>
      <c r="AB1786" s="83" t="s">
        <v>80</v>
      </c>
      <c r="AC1786" s="184"/>
      <c r="AD1786" s="106" t="s">
        <v>3252</v>
      </c>
    </row>
    <row r="1787" spans="2:30" s="57" customFormat="1" ht="51">
      <c r="B1787" s="23" t="s">
        <v>3890</v>
      </c>
      <c r="D1787" s="23" t="s">
        <v>362</v>
      </c>
      <c r="F1787" s="23" t="s">
        <v>363</v>
      </c>
      <c r="H1787" s="23" t="s">
        <v>3891</v>
      </c>
      <c r="J1787" s="23" t="s">
        <v>411</v>
      </c>
      <c r="L1787" s="23" t="s">
        <v>737</v>
      </c>
      <c r="N1787" s="23" t="s">
        <v>96</v>
      </c>
      <c r="P1787" s="106" t="s">
        <v>3250</v>
      </c>
      <c r="R1787" s="23" t="s">
        <v>77</v>
      </c>
      <c r="T1787" s="124" t="s">
        <v>3892</v>
      </c>
      <c r="U1787" s="184"/>
      <c r="V1787" s="83" t="s">
        <v>79</v>
      </c>
      <c r="W1787" s="166"/>
      <c r="X1787" s="83" t="s">
        <v>80</v>
      </c>
      <c r="Y1787" s="55"/>
      <c r="Z1787" s="119" t="s">
        <v>79</v>
      </c>
      <c r="AA1787" s="168"/>
      <c r="AB1787" s="83" t="s">
        <v>80</v>
      </c>
      <c r="AC1787" s="184"/>
      <c r="AD1787" s="106" t="s">
        <v>3252</v>
      </c>
    </row>
    <row r="1788" spans="2:30" s="57" customFormat="1" ht="51">
      <c r="B1788" s="23" t="s">
        <v>3893</v>
      </c>
      <c r="D1788" s="23" t="s">
        <v>3894</v>
      </c>
      <c r="F1788" s="23" t="s">
        <v>363</v>
      </c>
      <c r="H1788" s="23" t="s">
        <v>116</v>
      </c>
      <c r="J1788" s="23" t="s">
        <v>411</v>
      </c>
      <c r="L1788" s="23" t="s">
        <v>737</v>
      </c>
      <c r="N1788" s="23" t="s">
        <v>96</v>
      </c>
      <c r="P1788" s="106" t="s">
        <v>3250</v>
      </c>
      <c r="R1788" s="23" t="s">
        <v>77</v>
      </c>
      <c r="T1788" s="124" t="s">
        <v>3895</v>
      </c>
      <c r="U1788" s="184"/>
      <c r="V1788" s="83" t="s">
        <v>79</v>
      </c>
      <c r="W1788" s="166"/>
      <c r="X1788" s="83" t="s">
        <v>80</v>
      </c>
      <c r="Y1788" s="55"/>
      <c r="Z1788" s="119" t="s">
        <v>79</v>
      </c>
      <c r="AA1788" s="168"/>
      <c r="AB1788" s="83" t="s">
        <v>80</v>
      </c>
      <c r="AC1788" s="184"/>
      <c r="AD1788" s="106" t="s">
        <v>3252</v>
      </c>
    </row>
    <row r="1789" spans="2:30" s="57" customFormat="1" ht="51">
      <c r="B1789" s="23" t="s">
        <v>3896</v>
      </c>
      <c r="D1789" s="23" t="s">
        <v>2480</v>
      </c>
      <c r="F1789" s="23" t="s">
        <v>363</v>
      </c>
      <c r="H1789" s="23" t="s">
        <v>116</v>
      </c>
      <c r="J1789" s="23" t="s">
        <v>411</v>
      </c>
      <c r="L1789" s="23" t="s">
        <v>737</v>
      </c>
      <c r="N1789" s="23" t="s">
        <v>96</v>
      </c>
      <c r="P1789" s="106" t="s">
        <v>3250</v>
      </c>
      <c r="R1789" s="23" t="s">
        <v>77</v>
      </c>
      <c r="T1789" s="124" t="s">
        <v>3897</v>
      </c>
      <c r="U1789" s="184"/>
      <c r="V1789" s="83" t="s">
        <v>79</v>
      </c>
      <c r="W1789" s="166"/>
      <c r="X1789" s="83" t="s">
        <v>80</v>
      </c>
      <c r="Y1789" s="55"/>
      <c r="Z1789" s="119" t="s">
        <v>79</v>
      </c>
      <c r="AA1789" s="168"/>
      <c r="AB1789" s="83" t="s">
        <v>80</v>
      </c>
      <c r="AC1789" s="184"/>
      <c r="AD1789" s="106" t="s">
        <v>3252</v>
      </c>
    </row>
    <row r="1790" spans="2:30" s="57" customFormat="1" ht="51">
      <c r="B1790" s="23" t="s">
        <v>3898</v>
      </c>
      <c r="D1790" s="23" t="s">
        <v>2574</v>
      </c>
      <c r="F1790" s="23" t="s">
        <v>394</v>
      </c>
      <c r="H1790" s="23" t="s">
        <v>116</v>
      </c>
      <c r="J1790" s="23" t="s">
        <v>411</v>
      </c>
      <c r="L1790" s="23" t="s">
        <v>737</v>
      </c>
      <c r="N1790" s="23" t="s">
        <v>96</v>
      </c>
      <c r="P1790" s="106" t="s">
        <v>3250</v>
      </c>
      <c r="R1790" s="23" t="s">
        <v>77</v>
      </c>
      <c r="T1790" s="124" t="s">
        <v>3899</v>
      </c>
      <c r="U1790" s="184"/>
      <c r="V1790" s="83" t="s">
        <v>79</v>
      </c>
      <c r="W1790" s="166"/>
      <c r="X1790" s="83" t="s">
        <v>80</v>
      </c>
      <c r="Y1790" s="55"/>
      <c r="Z1790" s="119" t="s">
        <v>79</v>
      </c>
      <c r="AA1790" s="168"/>
      <c r="AB1790" s="83" t="s">
        <v>80</v>
      </c>
      <c r="AC1790" s="184"/>
      <c r="AD1790" s="106" t="s">
        <v>3252</v>
      </c>
    </row>
    <row r="1791" spans="2:30" s="57" customFormat="1" ht="51">
      <c r="B1791" s="23" t="s">
        <v>3900</v>
      </c>
      <c r="D1791" s="23" t="s">
        <v>2574</v>
      </c>
      <c r="F1791" s="23" t="s">
        <v>394</v>
      </c>
      <c r="H1791" s="23" t="s">
        <v>116</v>
      </c>
      <c r="J1791" s="23" t="s">
        <v>411</v>
      </c>
      <c r="L1791" s="23" t="s">
        <v>737</v>
      </c>
      <c r="N1791" s="23" t="s">
        <v>96</v>
      </c>
      <c r="P1791" s="106" t="s">
        <v>3250</v>
      </c>
      <c r="R1791" s="23" t="s">
        <v>77</v>
      </c>
      <c r="T1791" s="124" t="s">
        <v>3901</v>
      </c>
      <c r="U1791" s="184"/>
      <c r="V1791" s="83" t="s">
        <v>79</v>
      </c>
      <c r="W1791" s="166"/>
      <c r="X1791" s="83" t="s">
        <v>80</v>
      </c>
      <c r="Y1791" s="55"/>
      <c r="Z1791" s="119" t="s">
        <v>79</v>
      </c>
      <c r="AA1791" s="168"/>
      <c r="AB1791" s="83" t="s">
        <v>80</v>
      </c>
      <c r="AC1791" s="184"/>
      <c r="AD1791" s="106" t="s">
        <v>3252</v>
      </c>
    </row>
    <row r="1792" spans="2:30" s="57" customFormat="1" ht="30.95" customHeight="1">
      <c r="B1792" s="23" t="s">
        <v>3902</v>
      </c>
      <c r="D1792" s="23" t="s">
        <v>394</v>
      </c>
      <c r="F1792" s="23" t="s">
        <v>394</v>
      </c>
      <c r="H1792" s="23" t="s">
        <v>116</v>
      </c>
      <c r="J1792" s="23" t="s">
        <v>411</v>
      </c>
      <c r="L1792" s="23" t="s">
        <v>737</v>
      </c>
      <c r="N1792" s="23" t="s">
        <v>96</v>
      </c>
      <c r="P1792" s="106" t="s">
        <v>3250</v>
      </c>
      <c r="R1792" s="23" t="s">
        <v>77</v>
      </c>
      <c r="T1792" s="124" t="s">
        <v>3903</v>
      </c>
      <c r="U1792" s="184"/>
      <c r="V1792" s="83" t="s">
        <v>79</v>
      </c>
      <c r="W1792" s="166"/>
      <c r="X1792" s="83" t="s">
        <v>80</v>
      </c>
      <c r="Y1792" s="55"/>
      <c r="Z1792" s="119" t="s">
        <v>79</v>
      </c>
      <c r="AA1792" s="168"/>
      <c r="AB1792" s="83" t="s">
        <v>80</v>
      </c>
      <c r="AC1792" s="184"/>
      <c r="AD1792" s="106" t="s">
        <v>3252</v>
      </c>
    </row>
    <row r="1793" spans="4:31">
      <c r="D1793" s="23"/>
      <c r="J1793" s="23"/>
      <c r="L1793" s="23"/>
      <c r="N1793" s="23"/>
      <c r="P1793" s="23"/>
      <c r="R1793" s="23"/>
      <c r="T1793" s="187"/>
      <c r="AA1793" s="28"/>
      <c r="AE1793" s="57"/>
    </row>
    <row r="1794" spans="4:31">
      <c r="D1794" s="23"/>
      <c r="J1794" s="23"/>
      <c r="AE1794" s="57"/>
    </row>
    <row r="1795" spans="4:31">
      <c r="J1795" s="23"/>
    </row>
  </sheetData>
  <autoFilter ref="A17:ACQ1792" xr:uid="{71C7276E-D5C4-DB43-8338-6D8E4565CE1A}"/>
  <dataValidations count="11">
    <dataValidation type="list" allowBlank="1" showInputMessage="1" showErrorMessage="1" sqref="J1" xr:uid="{43D95A63-CE58-7246-BA1A-81A98933EFB6}">
      <formula1>"Int, EU, Austria, Belgium, Bulgaria, Croatia, Cyprus, Czech Rep., Denmark, Estonia, Finland, France, Germany, Greece, Hungary, Ireland, Italy, Latvia, Lithuania, Luxembourg, Malta, Netherlands, Poland, Portugal, Romania, Slovakia, Spain, Sweden, Slovenia"</formula1>
    </dataValidation>
    <dataValidation type="list" allowBlank="1" showInputMessage="1" showErrorMessage="1" sqref="F14" xr:uid="{97F15731-67F7-444B-A16A-060192E1426F}">
      <formula1>"Fruits &amp; Vegetables, Cereals, Poultry, Bovine, Pork, Fish, Eggs"</formula1>
    </dataValidation>
    <dataValidation type="list" allowBlank="1" showInputMessage="1" showErrorMessage="1" sqref="N1185 N135:N141 N164 N34 N758:N759 N762 N764 N775" xr:uid="{7AD00894-23B2-6249-A8F4-B8620FAB11AF}">
      <formula1>"Primary Production, Processing &amp; Manufacturing, Retail and Other Distribution (including wholesale), Restaurant and Food Services"</formula1>
    </dataValidation>
    <dataValidation type="list" allowBlank="1" showInputMessage="1" showErrorMessage="1" sqref="J14" xr:uid="{7217FC3B-1D59-DE46-804E-4322F5421C2F}">
      <formula1>"Intern'l, EU, Austria, Belgium, Bulgaria, Croatia, Cyprus, Czech Rep., Denmark, Estonia, Finland, France, Germany, Greece, Hungary, Ireland, Italy, Latvia, Lithuania, Lux, Malta, Netherlands, Poland, Portugal, Romania, Slovakia, Slovenia, Spain, Sweden"</formula1>
    </dataValidation>
    <dataValidation type="list" allowBlank="1" showInputMessage="1" showErrorMessage="1" sqref="F1220 F25:F26 F151:F152 F39 F759 F764" xr:uid="{2B1BA910-76E9-FA49-87BA-943E0F5CB878}">
      <formula1>"Fruits, Vegetables, Cereals, Processed Meat, Chicken, Beef, Pork, Fish, Eggs  "</formula1>
    </dataValidation>
    <dataValidation type="list" allowBlank="1" showInputMessage="1" showErrorMessage="1" sqref="I256 I672" xr:uid="{9F831C9A-BF0A-6846-BEFA-BD0011B608CC}">
      <formula1>"a, b, c, d, e, f, g, h, i, j, k, l ,m"</formula1>
    </dataValidation>
    <dataValidation type="list" allowBlank="1" showInputMessage="1" showErrorMessage="1" sqref="H1793:H1048576 H1219 H1:H15 H74:H90 H131:H133 H135:H141 H1216:H1217 H148 H17 H41 H126:H128 H49:H50 H54 H162 H255 H257:H669 H677 H1185:H1186 H682:H752 H1191:H1212 H755 H757:H758 H766:H767 H769:H771 H1230:H1233 H773:H776 H164" xr:uid="{9E0003BC-DB60-4645-8988-9D5544BB4998}">
      <formula1>"A, B, C, D, E, F, G, H, I, J, K, L, M"</formula1>
    </dataValidation>
    <dataValidation type="list" allowBlank="1" showInputMessage="1" showErrorMessage="1" sqref="F15 F1197:F1202 F1793:F1048576 F1206:F1207 F1:F13 F1233 F1194 F78:F81 F83 F85 F87 F89 F1185:F1186 F132:F142 F162:F163 F17 F126:F130 F48:F50 F255 F257:F669 F674 F683:F752 F1209 D755:D758 F755:F758 F1214:F1219 D1218:D1219 F766 F773" xr:uid="{1A5CCC88-AAE0-BF40-8936-5727054C4BEC}">
      <formula1>"Fruits &amp; Vegetables, Cereals, Poultry, Bovine, Pork, Fish, Eggs, Other"</formula1>
    </dataValidation>
    <dataValidation type="list" allowBlank="1" showInputMessage="1" showErrorMessage="1" sqref="N1231 N1793:N1048576 N1219 N1:N15 N1216:N1217 N162 N74:N91 N1186 N17 N148:N152 N26:N27 N35:N36 N155 N39 N41 N126:N134 N49:N50 N256:N669 N672 N682:N752 N1191:N1212 N761 N763 N769:N771 N773:N774 N776" xr:uid="{97D12408-AA81-1D42-8C0E-B8F8035145D2}">
      <formula1>"Primary Production, Processing &amp; Manufacturing, Retail and other distribution (including wholesale), Restaurant and Food Services"</formula1>
    </dataValidation>
    <dataValidation type="list" allowBlank="1" showInputMessage="1" showErrorMessage="1" sqref="L1793:L1048576 L1:L15 L17 L255:L669 L672 L674 L677 L1185:L1186 L682:L772 L1191:L1220 L1230:L1233" xr:uid="{C7C83338-28BB-814B-8CBF-29AACF977C16}">
      <formula1>"Public, Private"</formula1>
    </dataValidation>
    <dataValidation type="list" allowBlank="1" showInputMessage="1" showErrorMessage="1" sqref="J15 J1793:J1048576 J2:J13 J74:J95 J148:J149 J153:J155 J17 J126:J142 J49:J50 J54 J674 J677 J1185:J1186 J683:J775 J1191:J1220 J1230:J1233 J162:J164" xr:uid="{8330B26B-AD75-474A-85F1-1AA1274CBCE5}">
      <formula1>"EU, Austria, Belgium, Bulgaria, Croatia, Cyprus, Czech Republic, Denmark, Estonia, Finland, France, Germany, Greece, Hungary, Ireland, Italy, Latvia, Lithuania, Luxembourg, Malta, Netherlands, Poland, Portugal, Romania, Slovakia, Spain, Sweden, Slovenia"</formula1>
    </dataValidation>
  </dataValidations>
  <hyperlinks>
    <hyperlink ref="T777" r:id="rId1" display="https://www.economie.gouv.fr/particuliers/produit-label-rouge-quoi-vous-attendre_x000a_https://agriculture.gouv.fr/official-labels-quality-and-origin#:~:text=Label%20rouge%20(LR),chicken%2C%20cheese%20and%20cured%20meats._x000a_https://www.inao.gouv.fr/Les-signes-officiels-de-la-qualite-et-de-l-origine-SIQO/Label-Rouge" xr:uid="{67AF669C-71B1-AD4C-9063-60AC5C25F4DD}"/>
    <hyperlink ref="T1118" r:id="rId2" xr:uid="{E6EE8202-CD11-7D43-AC74-A9DD25478FAE}"/>
    <hyperlink ref="T1142" r:id="rId3" xr:uid="{175308C2-2E9C-B244-8318-643E23CA3FDA}"/>
    <hyperlink ref="T1144" r:id="rId4" xr:uid="{D144E7B0-5C62-954D-A803-9A7A37DABCF3}"/>
    <hyperlink ref="T1147" r:id="rId5" xr:uid="{6C3C7BB0-B212-F14E-8436-D244B691ACB0}"/>
    <hyperlink ref="T1148" r:id="rId6" xr:uid="{9E371EAB-FBCF-794F-9574-655D5845C73C}"/>
    <hyperlink ref="T1171" r:id="rId7" xr:uid="{74848203-CF7B-D441-82C5-0622AB7353FB}"/>
    <hyperlink ref="T1172" r:id="rId8" xr:uid="{791E794F-0812-A741-ADD1-60C3C5752E36}"/>
    <hyperlink ref="T1173" r:id="rId9" xr:uid="{E652AB0A-623E-DA4C-ACD2-E6C5822108BA}"/>
    <hyperlink ref="T1174" r:id="rId10" xr:uid="{797C0A62-77C4-4749-BAD8-E5EB7B6BBD63}"/>
    <hyperlink ref="T1175" r:id="rId11" xr:uid="{02BE9327-EEC1-5A4E-9B7A-317919621683}"/>
    <hyperlink ref="T1176" r:id="rId12" xr:uid="{C8EA5F26-732F-134F-B461-A516272492E3}"/>
    <hyperlink ref="T1177" r:id="rId13" xr:uid="{DCF42D4F-78E3-6347-8213-4606FD383F2E}"/>
    <hyperlink ref="T1178" r:id="rId14" xr:uid="{2831ACA4-5292-C942-A39A-00CC816F3B20}"/>
    <hyperlink ref="T1180" r:id="rId15" xr:uid="{0BB7A898-2750-BA4D-A66D-B44BD8CF8D64}"/>
    <hyperlink ref="T1186" r:id="rId16" location="Hoofdstuk2" display="https://wetten.overheid.nl/BWBR0022543/2023-10-14#Hoofdstuk2" xr:uid="{1D8FF9A5-866D-9A45-A76C-AA40C27F92C7}"/>
    <hyperlink ref="T1185" r:id="rId17" xr:uid="{116A842E-812B-3341-A896-43EFEE2282F9}"/>
    <hyperlink ref="T1187" r:id="rId18" display="https://www.ble.de/DE/Themen/Ernaehrung-Lebensmittel/Rindfleischetikettierung/rindfleischetikettierung_node.html;jsessionid=68F0D8695D61C5814CEC74FCF70781BA.internet971" xr:uid="{19C1F42C-9308-CB4E-B972-7140E97559C6}"/>
    <hyperlink ref="T1188" r:id="rId19" display="https://www.ble.de/DE/Themen/Ernaehrung-Lebensmittel/Rindfleischetikettierung/rindfleischetikettierung_node.html;jsessionid=68F0D8695D61C5814CEC74FCF70781BA.internet971" xr:uid="{559EF3C9-BB5E-4549-89B7-3F230DACC598}"/>
    <hyperlink ref="T1189" r:id="rId20" display="https://www.ble.de/DE/Themen/Ernaehrung-Lebensmittel/Tierhaltungskennzeichnung/Tierhaltungskennzeichnung_node.html;jsessionid=79F0C4BDB5F035341A962C6C67CDAC90.internet972" xr:uid="{4718D9C3-8460-5244-A849-139EFECF01AC}"/>
    <hyperlink ref="T1190" r:id="rId21" xr:uid="{04C5A6B8-2988-6A4F-A342-E92D8530BDDF}"/>
    <hyperlink ref="B1191" r:id="rId22" xr:uid="{F02F29DA-B6EC-8540-B169-38E13D4B569B}"/>
    <hyperlink ref="T1191" r:id="rId23" xr:uid="{F942D582-E0C4-C147-8EE9-6D696179F277}"/>
    <hyperlink ref="B1192" r:id="rId24" xr:uid="{E3E60561-5FB4-F84F-91BC-9FBD79375FE7}"/>
    <hyperlink ref="T1192" r:id="rId25" xr:uid="{B08CA6C3-E95B-1941-B773-89E1F3894D8A}"/>
    <hyperlink ref="T1193" r:id="rId26" xr:uid="{2A2D4B8D-5942-194F-8704-2A902134BD92}"/>
    <hyperlink ref="T1194" r:id="rId27" xr:uid="{E6C704C3-E184-4842-A27A-5F98D8F22674}"/>
    <hyperlink ref="T1195" r:id="rId28" xr:uid="{318191CF-445A-B749-B9EC-F460DD54B4D9}"/>
    <hyperlink ref="T1196" r:id="rId29" xr:uid="{E09B406F-F809-904C-88C8-6C5037E46B0B}"/>
    <hyperlink ref="T1197" r:id="rId30" xr:uid="{65C19C03-3664-9543-BD00-A6AE18869525}"/>
    <hyperlink ref="T1198" r:id="rId31" xr:uid="{3FBCE578-DA0E-5447-A2AF-1D672AB1061D}"/>
    <hyperlink ref="T1199" r:id="rId32" xr:uid="{F631257D-6BDB-B74F-BF4C-6B4026091DF9}"/>
    <hyperlink ref="T1200" r:id="rId33" xr:uid="{192C1441-9BCD-EF4D-ADFA-CE78B23CACF5}"/>
    <hyperlink ref="T1201" r:id="rId34" xr:uid="{311A7F34-5911-A941-9A49-5D5BF096982C}"/>
    <hyperlink ref="T1202" r:id="rId35" xr:uid="{D87F87FE-A469-DE40-8DF7-56E2D5ED9970}"/>
    <hyperlink ref="T1203" r:id="rId36" xr:uid="{C6157782-BF1D-4B4F-A228-4A6113D9F523}"/>
    <hyperlink ref="T1204" r:id="rId37" xr:uid="{5EB52259-6ABE-2B45-A5D9-C27519FC53DE}"/>
    <hyperlink ref="T1205" r:id="rId38" xr:uid="{2110000D-CBD4-4143-AE3D-F7FA825C536A}"/>
    <hyperlink ref="T1206" r:id="rId39" xr:uid="{DD2AF276-E0F3-9E4A-B147-043A23DFAFB8}"/>
    <hyperlink ref="T1207" r:id="rId40" xr:uid="{401A5971-D8EC-D84E-B97A-F0B806DEFF92}"/>
    <hyperlink ref="T1208" r:id="rId41" xr:uid="{7CAD8A29-2F39-924E-9C68-6B0FDE733888}"/>
    <hyperlink ref="T1209" r:id="rId42" xr:uid="{00DA8C6F-F152-844A-B1A1-F7FEE3D62CCB}"/>
    <hyperlink ref="T1218" r:id="rId43" location="top" xr:uid="{E1AFB911-FFDC-5649-9651-82EA3E8A04E6}"/>
    <hyperlink ref="T1219" r:id="rId44" xr:uid="{88645001-3F18-F645-AEAC-3FD9F66FFF33}"/>
    <hyperlink ref="T1230" r:id="rId45" display="https://www.fsai.ie/enforcement-and-legislation/legislation/food-legislation/meat-fresh-meat/labelling-of-beef-and-beef-products" xr:uid="{45D0ABFA-600C-2248-A91B-5ABC2D75B5D6}"/>
    <hyperlink ref="T1231" r:id="rId46" xr:uid="{EC83643F-83DF-1543-9FD8-DD0F3EF2E8C8}"/>
    <hyperlink ref="B1232" r:id="rId47" tooltip="S.I. No. 340 of 2010" display="https://www.irishstatutebook.ie/eli/2010/si/340/made/en/print" xr:uid="{4F262F70-37EC-4947-9717-C75102A2FA4C}"/>
    <hyperlink ref="T1111" r:id="rId48" display="https://www.originefrancegarantie.fr/annuaire-des-produits-certifies/categorie/agroalimentaire" xr:uid="{85ECC102-0534-CF48-B1E8-112059A9EE14}"/>
    <hyperlink ref="T1114" r:id="rId49" xr:uid="{7746D729-848E-2B45-A3CB-ECB9461F0705}"/>
    <hyperlink ref="T1211" r:id="rId50" xr:uid="{6F40A3D7-D3AD-2D4A-A18A-D1C463718A2D}"/>
    <hyperlink ref="T1212" r:id="rId51" location=":~:text=1337%2F2013%20che%20fissa%20le,ovina%2C%20caprina%20e%20di%20volatili" xr:uid="{41853F72-C1F0-DA4D-BDCE-28ECC4BFD8B9}"/>
    <hyperlink ref="T1213" r:id="rId52" xr:uid="{48D715EC-D335-114F-BCD8-4A490BD0DBF5}"/>
    <hyperlink ref="T1214" r:id="rId53" xr:uid="{CF8CBCD0-289D-2647-929F-05CB88914BEA}"/>
    <hyperlink ref="T1215" r:id="rId54" xr:uid="{3B643BED-8855-0E40-9659-F89B7C9F85DF}"/>
    <hyperlink ref="T1233" r:id="rId55" xr:uid="{44087E58-6C1B-8440-BE76-036832AE8BE5}"/>
    <hyperlink ref="T1221" r:id="rId56" xr:uid="{7DAAED70-4405-304E-A48C-9FC9E0D0EE39}"/>
    <hyperlink ref="T1222" r:id="rId57" xr:uid="{340AC454-48B5-2D45-9C26-CB7583504919}"/>
    <hyperlink ref="T1223" r:id="rId58" xr:uid="{E95BEAE6-CB7B-4849-A457-4B2A009FAE15}"/>
    <hyperlink ref="T1224" r:id="rId59" xr:uid="{7CAD6D13-3BC4-834C-8F14-D16563F9BC05}"/>
    <hyperlink ref="T1225" r:id="rId60" xr:uid="{D8CBD040-682D-AC46-8717-ABD6554DE431}"/>
    <hyperlink ref="T1226" r:id="rId61" xr:uid="{C833FF5C-D99A-9C4D-9EAE-3E25E7846910}"/>
    <hyperlink ref="T1227" r:id="rId62" xr:uid="{149DCA33-7B3F-944A-A1C8-15858A00B28B}"/>
    <hyperlink ref="T1228" r:id="rId63" xr:uid="{8546515E-1518-4444-AF5B-4EB53664DB21}"/>
    <hyperlink ref="T1229" r:id="rId64" xr:uid="{98957625-F3BE-9B41-A3EC-27B5AD56F360}"/>
    <hyperlink ref="T1220" r:id="rId65" xr:uid="{D3C18EF9-3C59-1943-877F-CF9004128EAD}"/>
    <hyperlink ref="T778" r:id="rId66" xr:uid="{E09066F2-F8BE-DA41-8439-F404008C4AF2}"/>
    <hyperlink ref="T165" r:id="rId67" display="https://unece.org/sites/default/files/2023-07/FFV-MinimumQuality_2020_e.pdf" xr:uid="{236E4ACD-DA67-2448-9BC2-9ECB0DA23B80}"/>
    <hyperlink ref="T166" r:id="rId68" display="https://unece.org/sites/default/files/2023-07/SL_FFV_2021_e_final.pdf" xr:uid="{CFCAB261-0E08-624D-ABC6-00509C41D880}"/>
    <hyperlink ref="T1234" r:id="rId69" xr:uid="{8A271D2F-19DB-EE41-82C6-CA780AE005C4}"/>
    <hyperlink ref="T1235" r:id="rId70" xr:uid="{83BF8E60-D913-E244-83CA-1CCCC31AFF87}"/>
    <hyperlink ref="T1236" r:id="rId71" xr:uid="{95E03B3D-DD9A-4B4A-B586-E003BAC4A5A4}"/>
    <hyperlink ref="T1237" r:id="rId72" xr:uid="{FAF77C79-C5BE-0140-ABF5-BEBDF3DC7F2A}"/>
    <hyperlink ref="T1238" r:id="rId73" xr:uid="{AAF51BE9-AFB1-2749-9332-BB2760F5672E}"/>
    <hyperlink ref="T1239" r:id="rId74" xr:uid="{52B71AC0-CDC1-664D-ABAD-04FF89FA5240}"/>
    <hyperlink ref="T1240" r:id="rId75" xr:uid="{A1C0DB40-7276-324C-83B3-0807897331E0}"/>
    <hyperlink ref="T1241" r:id="rId76" xr:uid="{ACACA973-EF6E-134B-B95F-0EB98791AE75}"/>
    <hyperlink ref="T1242" r:id="rId77" xr:uid="{9DC3CC40-D4D0-4A4F-8084-772025696B3C}"/>
    <hyperlink ref="T1243" r:id="rId78" xr:uid="{919AE61B-99F8-F94F-AC42-70BC5594174E}"/>
    <hyperlink ref="T1244" r:id="rId79" xr:uid="{BB230E10-B953-334A-9B40-B6ACD69138E2}"/>
    <hyperlink ref="T1245" r:id="rId80" xr:uid="{556F60A8-FA53-9446-A955-66668EC9D66B}"/>
    <hyperlink ref="T1246" r:id="rId81" xr:uid="{824AAE1F-66AE-C14E-8E6C-8E375BE7205B}"/>
    <hyperlink ref="T1247" r:id="rId82" xr:uid="{7FBF0B9B-7F37-EF49-BCCE-47367DDDCBB4}"/>
    <hyperlink ref="T1248" r:id="rId83" xr:uid="{BA5E7FC3-6F76-8440-BA65-EB4C2D005AD6}"/>
    <hyperlink ref="T1249" r:id="rId84" xr:uid="{B40675A4-7940-0A4B-93FE-4A1DF3498F4F}"/>
    <hyperlink ref="T1250" r:id="rId85" xr:uid="{5F19A6CE-7A17-8B4A-9D46-90DCB29D7072}"/>
    <hyperlink ref="T1251" r:id="rId86" xr:uid="{55176AD1-5B6B-2043-A26F-F5AE636F91E3}"/>
    <hyperlink ref="T1252" r:id="rId87" xr:uid="{7B020206-416B-394B-9ED9-A00C47FA35B4}"/>
    <hyperlink ref="T1253" r:id="rId88" xr:uid="{9EF96A65-3E58-BB48-8E7B-E9147ECEB455}"/>
    <hyperlink ref="T1254" r:id="rId89" xr:uid="{0893F226-1C6D-1142-9ED2-9EF542834DAB}"/>
    <hyperlink ref="T1255" r:id="rId90" xr:uid="{34B8B8E2-B1A9-7649-B498-BDA575BD8BDC}"/>
    <hyperlink ref="T1256" r:id="rId91" xr:uid="{922B6CE6-F0AD-EF45-A1FF-FEA6580048FE}"/>
    <hyperlink ref="T1257" r:id="rId92" xr:uid="{CD838361-7B9B-F843-A104-0844909D304D}"/>
    <hyperlink ref="T1258" r:id="rId93" xr:uid="{35856D04-772F-2C4C-AC24-5CEA6A7B0C97}"/>
    <hyperlink ref="T1259" r:id="rId94" xr:uid="{E4BAFB8B-F7E7-B249-8B6C-A32903DFCAD6}"/>
    <hyperlink ref="T1260" r:id="rId95" xr:uid="{5EB2A278-7F22-4747-B16B-20AED09D3E11}"/>
    <hyperlink ref="T1261" r:id="rId96" xr:uid="{70CB4847-B413-3D42-ACD0-DD6869EED8D7}"/>
    <hyperlink ref="T1262" r:id="rId97" xr:uid="{01FE6C96-ED58-584B-B48A-5C82773B1C33}"/>
    <hyperlink ref="T1263" r:id="rId98" xr:uid="{9A6F023D-9CB4-D647-9413-1325CCB417B6}"/>
    <hyperlink ref="T1264" r:id="rId99" xr:uid="{E0590CB0-B617-4C4C-8C3D-F4981D195462}"/>
    <hyperlink ref="T1265" r:id="rId100" xr:uid="{CB62FD1E-20DE-8144-B8FF-7CEEBD262344}"/>
    <hyperlink ref="T1266" r:id="rId101" xr:uid="{B1C1E58E-03A1-C341-9C13-04623C6DB541}"/>
    <hyperlink ref="T1267" r:id="rId102" xr:uid="{4D128BAE-13D3-2D46-A30E-E708C6758612}"/>
    <hyperlink ref="T1268" r:id="rId103" xr:uid="{121A4AEA-8711-ED48-84A1-E973F654EE03}"/>
    <hyperlink ref="T1269" r:id="rId104" xr:uid="{2EBFD66C-99F8-AA4C-853A-515033B7C40E}"/>
    <hyperlink ref="T1270" r:id="rId105" xr:uid="{1E100861-2C2C-624F-A23D-5E21DCE863BF}"/>
    <hyperlink ref="T1792" r:id="rId106" xr:uid="{5C3456D1-BDE4-594A-A96C-EB8823A2E000}"/>
    <hyperlink ref="T1791" r:id="rId107" xr:uid="{BB1615CC-5EFD-604D-B738-841E56C409D7}"/>
    <hyperlink ref="T1790" r:id="rId108" xr:uid="{769149BC-F3E4-5C47-967F-C0B619CEDF9F}"/>
    <hyperlink ref="T1789" r:id="rId109" xr:uid="{E1FC5405-F5CA-8541-B7DB-A709F1183D22}"/>
    <hyperlink ref="T1788" r:id="rId110" xr:uid="{F801A714-9A24-5C40-A3CF-87A13C122257}"/>
    <hyperlink ref="T1787" r:id="rId111" xr:uid="{12C377B5-8E5D-AE45-A484-D7DA8812307C}"/>
    <hyperlink ref="T1271" r:id="rId112" xr:uid="{EAA00363-20BF-D644-9207-711A86F6CC87}"/>
    <hyperlink ref="T1272" r:id="rId113" xr:uid="{A5C5F605-7E4F-FB49-B8D7-3745E1CD57C4}"/>
    <hyperlink ref="T1273" r:id="rId114" xr:uid="{417DE340-B74B-EA4B-B276-DE8412B670F2}"/>
    <hyperlink ref="T1274" r:id="rId115" xr:uid="{0121628D-1778-264D-A2BC-0304550DD20F}"/>
    <hyperlink ref="T1275" r:id="rId116" xr:uid="{4F638056-2B10-1A4F-A15B-BA8947021967}"/>
    <hyperlink ref="T1276" r:id="rId117" xr:uid="{48F05A06-6435-3E4D-8EF7-6FA5DB1173F1}"/>
    <hyperlink ref="T1277" r:id="rId118" xr:uid="{5EB8CFFC-BF1A-3E4F-81F3-1EF8C31AEB24}"/>
    <hyperlink ref="T1278" r:id="rId119" xr:uid="{9B650C2D-6E7B-184B-AE08-50305305261A}"/>
    <hyperlink ref="T1279" r:id="rId120" xr:uid="{E5C166E0-08C0-B64D-9BCB-A234BEA6F0A5}"/>
    <hyperlink ref="T1280" r:id="rId121" xr:uid="{56BA747D-B84F-374A-B126-BCC858B47E49}"/>
    <hyperlink ref="T1281" r:id="rId122" xr:uid="{F3F991DB-D0CB-BB44-90AE-9956D0727D68}"/>
    <hyperlink ref="T1282" r:id="rId123" xr:uid="{AC7B4E60-4F48-4A4E-B458-A4AD63A99DA8}"/>
    <hyperlink ref="T1283" r:id="rId124" xr:uid="{78EFAD2B-DB8C-BE43-B59E-DDF504782938}"/>
    <hyperlink ref="T1284" r:id="rId125" xr:uid="{49E0848B-A3F0-084A-985B-8145CF5B198B}"/>
    <hyperlink ref="T1285" r:id="rId126" xr:uid="{14CC8E9A-1645-0B49-A304-DC3945AEB1B7}"/>
    <hyperlink ref="T1286" r:id="rId127" xr:uid="{1395F86B-92C6-9D4F-A20C-3267028AAF9A}"/>
    <hyperlink ref="T1287" r:id="rId128" xr:uid="{A1A751E1-602F-9947-AF5B-AB28E16C1801}"/>
    <hyperlink ref="T1288" r:id="rId129" xr:uid="{34E5FE77-F60A-4446-9369-D8C60E2152D7}"/>
    <hyperlink ref="T1289" r:id="rId130" xr:uid="{FD04C19C-B4B8-344B-87B4-411B7215ECF5}"/>
    <hyperlink ref="T1290" r:id="rId131" xr:uid="{9B121E98-F47A-5543-AB4E-D4C0F1C3F31C}"/>
    <hyperlink ref="T1291" r:id="rId132" xr:uid="{4A22AC1A-21A8-A946-9DE2-875427D889C4}"/>
    <hyperlink ref="T1292" r:id="rId133" xr:uid="{61B55AF6-2D03-3749-B85C-8C66AED5427E}"/>
    <hyperlink ref="T1293" r:id="rId134" xr:uid="{F529608D-F609-A04F-99F7-2B906EFE333C}"/>
    <hyperlink ref="T1294" r:id="rId135" xr:uid="{EFD5AAC5-E294-0245-9F27-CA3EAB0005E9}"/>
    <hyperlink ref="T1295" r:id="rId136" xr:uid="{7C9CD6A4-ABE4-1443-9E41-E956B9DD3411}"/>
    <hyperlink ref="T1296" r:id="rId137" xr:uid="{954104D5-CB5F-D042-B404-710F3CD3CFF8}"/>
    <hyperlink ref="T1297" r:id="rId138" xr:uid="{E90FCAA5-0CF5-C74C-A406-E55AB0C59EC9}"/>
    <hyperlink ref="T1298" r:id="rId139" xr:uid="{A8301E4B-2374-7147-A1A6-80351388801F}"/>
    <hyperlink ref="T1299" r:id="rId140" xr:uid="{4BDD68DB-D119-514A-BF26-205E27D77408}"/>
    <hyperlink ref="T1300" r:id="rId141" xr:uid="{BC572A6F-ACF5-BD4A-A901-19E637E10D2A}"/>
    <hyperlink ref="T1301" r:id="rId142" xr:uid="{F17651B3-CD13-0343-81E8-7C8233188AE2}"/>
    <hyperlink ref="T1302" r:id="rId143" xr:uid="{B779A363-22BF-4542-928B-55C0B934AABE}"/>
    <hyperlink ref="T1303" r:id="rId144" xr:uid="{38A229A2-3D22-3E4B-8C25-F9C6CEF7BDA2}"/>
    <hyperlink ref="T1304" r:id="rId145" xr:uid="{2F3C8226-D155-9545-B034-D5DA61F062B4}"/>
    <hyperlink ref="T1305" r:id="rId146" xr:uid="{9FEFB1D5-1BAD-4F4C-96A3-C2D652C49CFD}"/>
    <hyperlink ref="T1306" r:id="rId147" xr:uid="{3F3A8747-46FA-804F-9C26-69C8EF3E16AA}"/>
    <hyperlink ref="T1307" r:id="rId148" xr:uid="{63721B21-93B7-3548-AB1D-C20625A34B90}"/>
    <hyperlink ref="T1308" r:id="rId149" xr:uid="{8BA3D7FD-978B-8B43-9C9D-F5C14946395D}"/>
    <hyperlink ref="T1309" r:id="rId150" xr:uid="{675D001C-A6CD-BE4D-B58C-63D82F44763A}"/>
    <hyperlink ref="T1310" r:id="rId151" xr:uid="{F11CBA5E-8133-FB41-B1DE-8C7D43209CDF}"/>
    <hyperlink ref="T1311" r:id="rId152" xr:uid="{91CD1FA6-A06B-0646-A3B7-50535F7C0FCC}"/>
    <hyperlink ref="T1312" r:id="rId153" xr:uid="{F1D3D381-B4BB-BC44-83DD-D85B1AA0275E}"/>
    <hyperlink ref="T1313" r:id="rId154" xr:uid="{E11C2496-4981-AA4D-A34B-B3EE169B7411}"/>
    <hyperlink ref="T1314" r:id="rId155" xr:uid="{DE4C5A9B-D8DC-BF48-A2E0-47ED252E57A5}"/>
    <hyperlink ref="T1315" r:id="rId156" xr:uid="{11935793-2CEE-B94A-9232-1031A587A30E}"/>
    <hyperlink ref="T1316" r:id="rId157" xr:uid="{959ABD58-6119-834B-96C0-88652ADDB204}"/>
    <hyperlink ref="T1317" r:id="rId158" xr:uid="{8DD6D130-9882-8F4C-B8FD-342DEAF501C7}"/>
    <hyperlink ref="T1318" r:id="rId159" xr:uid="{5E89071D-C618-F74C-B6DC-2E0FE95E2DDB}"/>
    <hyperlink ref="T1319" r:id="rId160" xr:uid="{4A1AEDA1-0A48-B04A-960C-D635D87DDFF7}"/>
    <hyperlink ref="T1320" r:id="rId161" xr:uid="{C04AA5A2-5FE4-F944-9EE3-20A64FC98AEB}"/>
    <hyperlink ref="T1321" r:id="rId162" xr:uid="{FFD1FD06-07DE-2E4B-AA19-662B9542949E}"/>
    <hyperlink ref="T1322" r:id="rId163" xr:uid="{7A938AB0-C355-A444-AAD8-B44725998997}"/>
    <hyperlink ref="T1323" r:id="rId164" xr:uid="{27C7FE38-1C18-1B44-887C-5301B39CBAC1}"/>
    <hyperlink ref="T1324" r:id="rId165" xr:uid="{043B76AC-9400-8146-BD68-56E76CB5E821}"/>
    <hyperlink ref="T1325" r:id="rId166" xr:uid="{C3634297-F2DE-EA43-82CD-84CC9335D597}"/>
    <hyperlink ref="T1326" r:id="rId167" xr:uid="{A2C9434D-7D93-C34C-BC60-6A521321B8FF}"/>
    <hyperlink ref="T1327" r:id="rId168" xr:uid="{26D6FDAF-BD0E-2340-BCFC-072453B4D85E}"/>
    <hyperlink ref="T1328" r:id="rId169" xr:uid="{0E9FDF85-435E-FA4F-B455-736BEF593BA6}"/>
    <hyperlink ref="T1329" r:id="rId170" xr:uid="{2E9B5E87-23C1-6943-927D-AEA04C8A8103}"/>
    <hyperlink ref="T1330" r:id="rId171" xr:uid="{9AD4413C-A3E5-2646-AFDF-0B733BCC2BF2}"/>
    <hyperlink ref="T1331" r:id="rId172" xr:uid="{C0030BDD-806D-CC41-A4AC-4D96F295C9BE}"/>
    <hyperlink ref="T1332" r:id="rId173" xr:uid="{424E4119-7395-774E-A4C8-F1063BD641BC}"/>
    <hyperlink ref="T1333" r:id="rId174" xr:uid="{F4372B78-2F57-1B48-BC86-EB9078AB1407}"/>
    <hyperlink ref="T1334" r:id="rId175" xr:uid="{D9EA37B6-26BF-984E-9659-B9BC2C3B77B1}"/>
    <hyperlink ref="T1335" r:id="rId176" xr:uid="{45B45C91-4187-3549-BDD2-3A5841818688}"/>
    <hyperlink ref="T1336" r:id="rId177" xr:uid="{C7BCA707-4BF1-8D4F-85A2-E689111A7EAA}"/>
    <hyperlink ref="T1337" r:id="rId178" xr:uid="{5E058BB7-DCD8-9540-8DC8-24A69E6B03AA}"/>
    <hyperlink ref="T1338" r:id="rId179" xr:uid="{25E75B8F-B220-8147-A46C-CC03C0354B84}"/>
    <hyperlink ref="T1339" r:id="rId180" xr:uid="{A3BF89A1-ED45-484B-B681-52060205899C}"/>
    <hyperlink ref="T1340" r:id="rId181" xr:uid="{5FBBB82E-628D-D74D-8FFF-F5CEB99245C4}"/>
    <hyperlink ref="T1341" r:id="rId182" xr:uid="{C824AE68-80C2-A441-AFBC-E986A1D7F428}"/>
    <hyperlink ref="T1342" r:id="rId183" xr:uid="{AE136C71-8690-E14F-851F-270D954ABA2E}"/>
    <hyperlink ref="T1343" r:id="rId184" xr:uid="{AB9C273A-CA0B-BF49-B258-2D9ED1210E99}"/>
    <hyperlink ref="T1344" r:id="rId185" xr:uid="{0784117C-1073-2942-ABE5-B3F859044AD1}"/>
    <hyperlink ref="T1345" r:id="rId186" xr:uid="{B37A8890-AC58-C543-BA46-93F1FCD6E915}"/>
    <hyperlink ref="T1346" r:id="rId187" xr:uid="{8E724040-8E7C-074C-9F87-711B8C6DC8E4}"/>
    <hyperlink ref="T1347" r:id="rId188" xr:uid="{B01C7A2E-2D05-234A-954A-8F99DE84734E}"/>
    <hyperlink ref="T1348" r:id="rId189" xr:uid="{11468A2F-2B73-4B41-B68B-91461F247E37}"/>
    <hyperlink ref="T1349" r:id="rId190" xr:uid="{EC6B0AAF-E3F3-3747-8EF8-BA9D31C0CA83}"/>
    <hyperlink ref="T1350" r:id="rId191" xr:uid="{F9C40F34-FF52-7B46-A5B1-7C696372E638}"/>
    <hyperlink ref="T1351" r:id="rId192" xr:uid="{9EA94075-94E5-D149-92CF-5697FB6AB239}"/>
    <hyperlink ref="T1352" r:id="rId193" xr:uid="{031D50F1-41BF-104B-89C3-D6DA9E4F2921}"/>
    <hyperlink ref="T1353" r:id="rId194" xr:uid="{3F85B411-7269-BF4C-BE5D-18BB4149B5A2}"/>
    <hyperlink ref="T1354" r:id="rId195" xr:uid="{C650A705-C8F7-D74D-8321-EF907F545753}"/>
    <hyperlink ref="T1355" r:id="rId196" xr:uid="{5DCFA438-F56C-134D-96A7-9F21B00FAC99}"/>
    <hyperlink ref="T1356" r:id="rId197" xr:uid="{C5C16F06-18D8-B545-9951-1A13D75D616F}"/>
    <hyperlink ref="T1357" r:id="rId198" xr:uid="{DD4253BD-835B-3D4F-B24C-FAA5F20A627B}"/>
    <hyperlink ref="T1358" r:id="rId199" xr:uid="{ADA75A58-FC12-3C44-A5A5-7C310E6785AA}"/>
    <hyperlink ref="T1359" r:id="rId200" xr:uid="{403CC6FE-1C7E-8348-A6AC-2ACAF0AEAE73}"/>
    <hyperlink ref="T1360" r:id="rId201" xr:uid="{CB7186C0-0B9E-6C4A-9DFC-591C118A76ED}"/>
    <hyperlink ref="T1361" r:id="rId202" xr:uid="{22BD9E77-31AB-0341-AB5E-7B1549CA5166}"/>
    <hyperlink ref="T1362" r:id="rId203" xr:uid="{78477746-E70A-AB44-8A69-6AA40DA0F171}"/>
    <hyperlink ref="T1363" r:id="rId204" xr:uid="{40BB15B3-0E25-1243-97FE-A3EBA6A2603F}"/>
    <hyperlink ref="T1364" r:id="rId205" xr:uid="{0CE1EEC6-B4C5-2D4A-BFF3-B06792D66F19}"/>
    <hyperlink ref="T1365" r:id="rId206" xr:uid="{DCD88DEC-10D7-9645-A469-4ED4680718A4}"/>
    <hyperlink ref="T1366" r:id="rId207" xr:uid="{E5E44C30-AB7F-EC43-84DB-2378B94A15A7}"/>
    <hyperlink ref="T1367" r:id="rId208" xr:uid="{088C705B-ADE7-EC4F-ABFD-345578DE95D0}"/>
    <hyperlink ref="T1368" r:id="rId209" xr:uid="{AF251976-E501-4243-B6FD-6DF5DFDBF976}"/>
    <hyperlink ref="T1369" r:id="rId210" xr:uid="{E43CA0F0-7E04-C94B-B1FC-A5860942793D}"/>
    <hyperlink ref="T1370" r:id="rId211" xr:uid="{7FC23EAF-C414-B640-96C2-1D2D2FC3FDFE}"/>
    <hyperlink ref="T1371" r:id="rId212" xr:uid="{F3B11014-6833-EE4D-8DB8-2A25AAFB62E1}"/>
    <hyperlink ref="T1372" r:id="rId213" xr:uid="{B43A0673-5602-E345-ABD3-4D7BA6199C71}"/>
    <hyperlink ref="T1373" r:id="rId214" xr:uid="{A8932AC1-F99C-F14F-97A2-20744FB8D17B}"/>
    <hyperlink ref="T1374" r:id="rId215" xr:uid="{3F892E9B-4673-964A-A540-F1A427A40DFE}"/>
    <hyperlink ref="T1375" r:id="rId216" xr:uid="{C54B2EFC-0801-B345-9FD9-6149FD060023}"/>
    <hyperlink ref="T1376" r:id="rId217" xr:uid="{DB83A9F4-0218-0543-9A88-BD171D9D85D6}"/>
    <hyperlink ref="T1377" r:id="rId218" xr:uid="{7B03F168-00EB-BD4C-BD78-53D542F7A1B6}"/>
    <hyperlink ref="T1378" r:id="rId219" xr:uid="{8EA8C16E-019C-5844-B8E7-D15E16C0ACA7}"/>
    <hyperlink ref="T1379" r:id="rId220" xr:uid="{DF8FCA68-5BC3-FB45-AD31-9D113BB2C34D}"/>
    <hyperlink ref="T1380" r:id="rId221" xr:uid="{AE1FC522-A801-1242-AA94-63DEEA6840A0}"/>
    <hyperlink ref="T1381" r:id="rId222" xr:uid="{1E53E29A-D197-3946-96A7-3ED8D9BEF1FD}"/>
    <hyperlink ref="T1382" r:id="rId223" xr:uid="{902136D5-D14D-F64B-8CE6-9B94D1EF9957}"/>
    <hyperlink ref="T1383" r:id="rId224" xr:uid="{E87EA4E5-A6BA-5444-AE0A-7DF34FAAA20F}"/>
    <hyperlink ref="T1384" r:id="rId225" xr:uid="{2AC3F38E-6C54-2C47-8290-C04DCAD78381}"/>
    <hyperlink ref="T1385" r:id="rId226" xr:uid="{B0432CA6-261A-864E-9901-681167DE4A44}"/>
    <hyperlink ref="T1386" r:id="rId227" xr:uid="{6542C740-3EDB-E145-997D-324E6A585F54}"/>
    <hyperlink ref="T1387" r:id="rId228" xr:uid="{2CF0E84A-E558-FA49-84FA-D651B80C9D4E}"/>
    <hyperlink ref="T1388" r:id="rId229" xr:uid="{23F34243-D225-D147-A3D6-7800A75F7FA3}"/>
    <hyperlink ref="T1389" r:id="rId230" xr:uid="{9DAA9146-0823-CB47-862F-2D8FE670F83F}"/>
    <hyperlink ref="T1390" r:id="rId231" xr:uid="{ECA3BA09-C95B-144A-9A19-CA151CB798AB}"/>
    <hyperlink ref="T1391" r:id="rId232" xr:uid="{3679A6DE-3905-0C48-8E5F-9408384A7756}"/>
    <hyperlink ref="T1392" r:id="rId233" xr:uid="{0695DC62-3CD7-E047-B22B-B28061945A0C}"/>
    <hyperlink ref="T1393" r:id="rId234" xr:uid="{D810D105-A7A2-AE44-9367-7E95E410E446}"/>
    <hyperlink ref="T1394" r:id="rId235" xr:uid="{F17B1082-6A71-9C41-AD9A-DC532F211969}"/>
    <hyperlink ref="T1395" r:id="rId236" xr:uid="{4A3A8FE4-EC5B-D94A-BCAB-D59DF4200A4C}"/>
    <hyperlink ref="T1396" r:id="rId237" xr:uid="{F1F16F87-2C9A-B842-B558-B48684A6B557}"/>
    <hyperlink ref="T1397" r:id="rId238" xr:uid="{D299F1C7-4104-F840-89A5-78F20379A974}"/>
    <hyperlink ref="T1398" r:id="rId239" xr:uid="{6EFFADEB-21CB-DF4B-B542-9D89DE8B159D}"/>
    <hyperlink ref="T1399" r:id="rId240" xr:uid="{11AE8B4E-1418-774C-BE55-35BD13308261}"/>
    <hyperlink ref="T1400" r:id="rId241" xr:uid="{CDE9DBDC-7D0D-9D4C-91FB-4EC5EB283468}"/>
    <hyperlink ref="T1401" r:id="rId242" xr:uid="{CDF16CD2-464E-B245-A41B-0C3278500D10}"/>
    <hyperlink ref="T1402" r:id="rId243" xr:uid="{FDCD780C-8528-DA4F-A392-14C685ED1066}"/>
    <hyperlink ref="T1403" r:id="rId244" xr:uid="{64BD4B06-81A0-174C-A168-BDA6EF3F5AAA}"/>
    <hyperlink ref="T1404" r:id="rId245" xr:uid="{E2A5954A-83E7-6147-9525-D892178A2953}"/>
    <hyperlink ref="T1405" r:id="rId246" xr:uid="{E70A7EF0-9C67-4F4F-86D5-0F97BFC1352B}"/>
    <hyperlink ref="T1406" r:id="rId247" xr:uid="{7DCCB206-402B-374A-ADE3-33B5B4456F74}"/>
    <hyperlink ref="T1407" r:id="rId248" xr:uid="{FAD50782-3EC0-8F43-93E9-FE3953CDF6B4}"/>
    <hyperlink ref="T1408" r:id="rId249" xr:uid="{D5450DCA-DCAB-604D-AA0D-43B490C74673}"/>
    <hyperlink ref="T1409" r:id="rId250" xr:uid="{DE028FD3-D53C-4B47-97F2-B301DA49BDFC}"/>
    <hyperlink ref="T1410" r:id="rId251" xr:uid="{21F82597-C784-6C4B-B582-EE0AA754824A}"/>
    <hyperlink ref="T1411" r:id="rId252" xr:uid="{D9A724F9-2C7B-F24D-9E6B-ADCAAAA72DA1}"/>
    <hyperlink ref="T1412" r:id="rId253" xr:uid="{DEBEB679-AC91-6A4D-9D7A-27EE183F1890}"/>
    <hyperlink ref="T1413" r:id="rId254" xr:uid="{C2400237-43A6-4C42-AF8F-DEFBED57E954}"/>
    <hyperlink ref="T1414" r:id="rId255" xr:uid="{0CE25A2C-8C3B-5E4C-A869-A6CD6F154DE3}"/>
    <hyperlink ref="T1415" r:id="rId256" xr:uid="{7948F793-86E0-2E49-9A21-0159252F673D}"/>
    <hyperlink ref="T1416" r:id="rId257" xr:uid="{A510396A-3C93-4C43-9179-55374E91D32F}"/>
    <hyperlink ref="T1417" r:id="rId258" xr:uid="{7D3AD4F6-73BB-4B43-A448-3B398F6AC4B5}"/>
    <hyperlink ref="T1418" r:id="rId259" xr:uid="{AD8394FC-566C-B545-855A-0304FF6024F7}"/>
    <hyperlink ref="T1419" r:id="rId260" xr:uid="{7A87B5AF-F98A-DF4C-B182-6D661DBB0D3D}"/>
    <hyperlink ref="T1420" r:id="rId261" xr:uid="{2EEDCA33-0F25-414A-A8BB-20E38B7EBE8F}"/>
    <hyperlink ref="T1421" r:id="rId262" xr:uid="{1D0A45C3-A5B4-2D4D-9B94-E9B8688CF659}"/>
    <hyperlink ref="T1422" r:id="rId263" xr:uid="{50891E42-48B6-8B41-B0B8-1D3C9D52E904}"/>
    <hyperlink ref="T1423" r:id="rId264" xr:uid="{8D5B3F9E-D5D7-454F-8664-7D87D4B011CF}"/>
    <hyperlink ref="T1424" r:id="rId265" xr:uid="{6C6E6541-4246-7641-B3CF-FFFCA3E74F5D}"/>
    <hyperlink ref="T1425" r:id="rId266" xr:uid="{DD5010A2-2C3F-4F45-89BE-8A1B11D9134E}"/>
    <hyperlink ref="T1426" r:id="rId267" xr:uid="{8EA9E4B6-2EDE-9843-8904-9224F5424A48}"/>
    <hyperlink ref="T1427" r:id="rId268" xr:uid="{420A195E-8D48-0E47-A50E-499BB2879342}"/>
    <hyperlink ref="T1428" r:id="rId269" xr:uid="{ED813AAB-6F97-0B4C-9901-56640EE760E0}"/>
    <hyperlink ref="T1429" r:id="rId270" xr:uid="{6AD389F7-0645-5E45-B8D8-D33F874F1BB2}"/>
    <hyperlink ref="T1430" r:id="rId271" xr:uid="{8CB3BEB5-AEF7-644A-A8C9-417CFCE6AD52}"/>
    <hyperlink ref="T1431" r:id="rId272" xr:uid="{228F13F5-99F2-744F-AAE4-1F8A724E2A9C}"/>
    <hyperlink ref="T1432" r:id="rId273" xr:uid="{043E2808-F855-DE4F-BB65-82C254BBBE77}"/>
    <hyperlink ref="T1433" r:id="rId274" xr:uid="{44E2C2A0-78F2-6A40-815D-2425D66C4ECB}"/>
    <hyperlink ref="T1786" r:id="rId275" xr:uid="{ED3B83A4-FB72-3840-9818-9E1EDCB61C55}"/>
    <hyperlink ref="T1785" r:id="rId276" xr:uid="{A90BF4BE-4096-0A4F-8120-F4779B8876FE}"/>
    <hyperlink ref="T1784" r:id="rId277" xr:uid="{8F82499E-B28F-AF4F-9835-DB82321D05C7}"/>
    <hyperlink ref="T1783" r:id="rId278" xr:uid="{D9ED0A39-3591-7447-A6AE-782FBA20462C}"/>
    <hyperlink ref="T1782" r:id="rId279" xr:uid="{4CB46EEE-5E99-AC46-845A-A6AC5275CCF8}"/>
    <hyperlink ref="T1434" r:id="rId280" xr:uid="{AF02170F-43F2-FE4D-896F-3C52DE7BE29D}"/>
    <hyperlink ref="T1435" r:id="rId281" xr:uid="{0BE94462-7FD8-464C-B071-871D5C965D66}"/>
    <hyperlink ref="T1436" r:id="rId282" xr:uid="{88A3E1A3-3E0C-CA41-AD3D-2F567E1EC3C4}"/>
    <hyperlink ref="T1437:T1781" r:id="rId283" display="https://ec.europa.eu/agriculture/eambrosia/geographical-indications-register/" xr:uid="{1D139BF0-7CC0-1742-9A1E-D1D7DF770241}"/>
    <hyperlink ref="T1108" r:id="rId284" xr:uid="{9463978D-4CC0-C64D-9DC8-AD2AD5795EE5}"/>
    <hyperlink ref="T1115" r:id="rId285" xr:uid="{1F924748-CC86-934D-9329-6260DEF72941}"/>
    <hyperlink ref="T1117" r:id="rId286" xr:uid="{D66C8A23-9142-214E-8CA0-D4496F0A6702}"/>
    <hyperlink ref="T1216" r:id="rId287" xr:uid="{991E2344-0619-CF4E-8457-AECF32F88D02}"/>
    <hyperlink ref="T1217" r:id="rId288" xr:uid="{573B17D1-8B94-E24E-A824-1BF81CB3BE25}"/>
    <hyperlink ref="T173" r:id="rId289" xr:uid="{E7FA5DCE-B3D5-BD41-8F50-2E18DF8AFBCD}"/>
    <hyperlink ref="T172" r:id="rId290" xr:uid="{BAFF7FC7-8DFB-5E45-95C2-2CF3FBFBB329}"/>
    <hyperlink ref="T171" r:id="rId291" xr:uid="{24E4EA09-7113-794F-93DE-79A6923FC016}"/>
    <hyperlink ref="T170" r:id="rId292" xr:uid="{A4336BF9-9DE8-724C-86CA-ABA2BBB4B07D}"/>
    <hyperlink ref="T169" r:id="rId293" xr:uid="{31859467-5CE3-0349-A104-D3FDB77E70F2}"/>
    <hyperlink ref="T167" r:id="rId294" xr:uid="{02885B4B-780D-F644-AA4F-1B7C2A98A6AB}"/>
    <hyperlink ref="T168" r:id="rId295" xr:uid="{91B65C44-AC63-B94B-92B5-157E537E71EE}"/>
    <hyperlink ref="T55" r:id="rId296" xr:uid="{6B99A1C9-3B1F-684B-81BC-25AA97F2E067}"/>
    <hyperlink ref="T73" r:id="rId297" xr:uid="{4A18DC74-7AE6-C94F-BEFB-4FC5996F67C8}"/>
    <hyperlink ref="T74" r:id="rId298" xr:uid="{14C35C76-2E85-034C-ABAA-6C58F8723DB8}"/>
    <hyperlink ref="T75" r:id="rId299" xr:uid="{41D97B10-F1DF-5348-9105-9DB57741D665}"/>
    <hyperlink ref="T76" r:id="rId300" xr:uid="{58A551DD-44DB-454D-ACCB-44AACBF1A144}"/>
    <hyperlink ref="T77" r:id="rId301" xr:uid="{F6BDD425-2172-4843-A3BE-3C8B617A53CC}"/>
    <hyperlink ref="T78" r:id="rId302" xr:uid="{070A6A21-1215-FD4B-BD8D-822B88D39BA5}"/>
    <hyperlink ref="T79" r:id="rId303" xr:uid="{399F377B-207B-DC46-A037-ECBAB23377AB}"/>
    <hyperlink ref="T80" r:id="rId304" xr:uid="{46246D36-C8F5-FC4D-9C65-98B238ACA046}"/>
    <hyperlink ref="T91" r:id="rId305" xr:uid="{262A564E-0AB7-5944-A2D5-074B2A1DA5D9}"/>
    <hyperlink ref="T92" r:id="rId306" xr:uid="{88976E7E-5B3A-A141-B907-789F31EE208B}"/>
    <hyperlink ref="T93" r:id="rId307" xr:uid="{1331704B-3507-7B43-928F-6294F0693DCF}"/>
    <hyperlink ref="T94" r:id="rId308" xr:uid="{511B181D-D2F8-BD4D-9D7B-BBE057F89010}"/>
    <hyperlink ref="D96" r:id="rId309" display="All commodities:_x000a_https://produits.bleu-blanc-coeur.org/types-de-produits" xr:uid="{67AB7DD0-B9E7-E844-8912-E03F9E44E25A}"/>
    <hyperlink ref="T96" r:id="rId310" location=":~:text=The%20Bleu%2DBlanc%2DCoeur%20logo%20means%20that%20the%20product%20wearing,goes%20hand%20to%20hand!)." display="https://international.bleu-blanc-coeur.org/international-news/what-is-a-bleu-blanc-coeur-vegetable/#:~:text=The%20Bleu%2DBlanc%2DCoeur%20logo%20means%20that%20the%20product%20wearing,goes%20hand%20to%20hand!)." xr:uid="{44BC3D45-EE27-A445-AFB5-C8B43A5596C5}"/>
    <hyperlink ref="T100" r:id="rId311" xr:uid="{3AF023EE-42B0-7543-8733-A04CDA41B409}"/>
    <hyperlink ref="T104" r:id="rId312" xr:uid="{85CC9F73-DC95-0E40-9FFB-6BC2D14816AD}"/>
    <hyperlink ref="T105" r:id="rId313" xr:uid="{7D033327-5E94-AB43-BA9F-526EA596A120}"/>
    <hyperlink ref="T117" r:id="rId314" xr:uid="{0C444032-02A5-3F45-B47B-A35472D3EC3D}"/>
    <hyperlink ref="T119" r:id="rId315" location="fae0fe2e-537b-457c-a935-351e20cbe409_61" xr:uid="{C808F955-6F4C-CC47-BC61-4C28CE0F3D68}"/>
    <hyperlink ref="T123" r:id="rId316" xr:uid="{A2C31B08-0E13-B847-A6DD-A57215CD2582}"/>
    <hyperlink ref="T124" r:id="rId317" xr:uid="{833833CC-C8BC-8D4D-A410-B1DAFEBF0159}"/>
    <hyperlink ref="T126" r:id="rId318" xr:uid="{BC610508-A906-E44A-A4D5-393B32FDCC2D}"/>
    <hyperlink ref="T127" r:id="rId319" xr:uid="{25E1FF1C-97B2-514E-A78C-2D9BD99F7384}"/>
    <hyperlink ref="T128" r:id="rId320" xr:uid="{BADC0078-2B32-254E-AD3F-005AA576C123}"/>
    <hyperlink ref="T129" r:id="rId321" xr:uid="{8F4E1CD0-38E9-1B4C-B93E-FAD9FB04F261}"/>
    <hyperlink ref="T130" r:id="rId322" xr:uid="{3B53FCAB-8F5B-BD4C-A903-0F0EEF824A7D}"/>
    <hyperlink ref="T131" r:id="rId323" xr:uid="{58239488-28DA-9141-9F79-39AEA7F120B5}"/>
    <hyperlink ref="T132" r:id="rId324" xr:uid="{BBA15EEC-B529-3041-9AD6-86BFEE4AEAF0}"/>
    <hyperlink ref="T133" r:id="rId325" xr:uid="{7303BF40-A27D-C648-B7E7-9979D05B3FCD}"/>
    <hyperlink ref="T134" r:id="rId326" xr:uid="{2D124037-9D38-CD4C-886E-AFC2ECFF4A00}"/>
    <hyperlink ref="T142" r:id="rId327" xr:uid="{520FEC1B-F291-6345-B7B8-77664B9A0931}"/>
    <hyperlink ref="T143" r:id="rId328" location="page=537" xr:uid="{5DF5CA99-883C-9443-988A-EAB804AFE405}"/>
    <hyperlink ref="T144" r:id="rId329" location=":~:text=La%20charte%20met%20l'accent,appr%C3%A9ciables%20des%20pr%C3%A9cieux%20om%C3%A9ga%2D3." display="https://www.truiteservice.com/qualite-truites-fraiches-pat/#:~:text=La%20charte%20met%20l'accent,appr%C3%A9ciables%20des%20pr%C3%A9cieux%20om%C3%A9ga%2D3." xr:uid="{C7EFD30E-1DBF-9540-AA9C-164D2E1FE16B}"/>
    <hyperlink ref="T145" r:id="rId330" xr:uid="{0EED228C-4966-8F4A-B181-CEC273F91968}"/>
    <hyperlink ref="T146" r:id="rId331" xr:uid="{610BB540-1374-5242-B482-234DF4886765}"/>
    <hyperlink ref="T147" r:id="rId332" xr:uid="{305880AD-85CA-A046-9012-7F866BFA7AEC}"/>
    <hyperlink ref="T148" r:id="rId333" display="Products | Eat Meat - Import and processing of fine meats" xr:uid="{D9B74985-D6B6-D647-B669-386B42B67771}"/>
    <hyperlink ref="T150" r:id="rId334" xr:uid="{72BE382A-FFCF-F944-8CAE-7F3F43CC7540}"/>
    <hyperlink ref="T151" r:id="rId335" xr:uid="{EFA16708-A8CE-934F-8C7F-9560F21CBD69}"/>
    <hyperlink ref="T152" r:id="rId336" xr:uid="{3CC03291-5A0F-C44E-9B54-DF9BD5D5CE6D}"/>
    <hyperlink ref="T153" r:id="rId337" xr:uid="{D1096FF5-ACBF-8240-8D00-D4D7D6B85C4D}"/>
    <hyperlink ref="T154" r:id="rId338" xr:uid="{4181E1FA-5B1C-D146-BE5D-1AEB84309BCC}"/>
    <hyperlink ref="T155" r:id="rId339" xr:uid="{E36D50EC-68E3-1845-88B2-8AA2C7236725}"/>
    <hyperlink ref="T156" r:id="rId340" xr:uid="{2B7F5DFA-14C2-AD4F-8E83-F18FC0138838}"/>
    <hyperlink ref="T157" r:id="rId341" xr:uid="{50F120F0-FC2D-334E-A85E-0C9C37344624}"/>
    <hyperlink ref="T161" r:id="rId342" xr:uid="{4CDAB9DB-0701-5B48-BC3C-00989FA16A2D}"/>
    <hyperlink ref="T162" r:id="rId343" xr:uid="{99A26B53-A215-8A42-8F0D-655F3734CAF5}"/>
    <hyperlink ref="T163" r:id="rId344" xr:uid="{34A89BAF-02D8-B048-A0E3-780F0DEC9E12}"/>
    <hyperlink ref="T19" r:id="rId345" xr:uid="{52FFFA20-EA5A-2B4B-96FB-E616577C3F63}"/>
    <hyperlink ref="T20" r:id="rId346" xr:uid="{44B576AA-3CF7-6C48-B8E9-27DED469A036}"/>
    <hyperlink ref="T22" r:id="rId347" display="https://www.salmar.no/de/Menu-6-1" xr:uid="{9D2349A6-29C5-7A44-962B-5C89B84D47A2}"/>
    <hyperlink ref="T23" r:id="rId348" xr:uid="{D59DC8B6-934D-8E4E-B8DB-4C6DF44D5819}"/>
    <hyperlink ref="T24" r:id="rId349" xr:uid="{C294E18A-CAF3-1C4D-BE00-75F4304BA4B7}"/>
    <hyperlink ref="T25" r:id="rId350" xr:uid="{95493741-1C27-0344-8223-8F7BFDEEB3D9}"/>
    <hyperlink ref="T26" r:id="rId351" xr:uid="{97686CD5-8433-D94A-9744-9274514E6888}"/>
    <hyperlink ref="T27" r:id="rId352" xr:uid="{6D01B0C9-895C-834B-B61A-C67508A580AB}"/>
    <hyperlink ref="T28" r:id="rId353" xr:uid="{F2F55B23-3093-AD4A-825B-57A4028984E0}"/>
    <hyperlink ref="T29" r:id="rId354" xr:uid="{F380161F-05A9-1347-8ACF-E10E9DC743B1}"/>
    <hyperlink ref="T30" r:id="rId355" xr:uid="{D2AB6361-B072-2246-843A-23A840D34A44}"/>
    <hyperlink ref="T31" r:id="rId356" xr:uid="{B3B22EF2-B1DB-BC49-99F6-2A6019C36520}"/>
    <hyperlink ref="T32" r:id="rId357" xr:uid="{D2670422-4367-0048-BB4D-E5DAFD555434}"/>
    <hyperlink ref="T33" r:id="rId358" xr:uid="{442FEE42-919E-AC40-A6E1-C570D236C2C8}"/>
    <hyperlink ref="T34" r:id="rId359" xr:uid="{6BD5F454-8DE2-EE4D-93D2-08CDB18CA019}"/>
    <hyperlink ref="T35" r:id="rId360" xr:uid="{5E47F9FF-9642-1B4E-80BF-EB083DED5654}"/>
    <hyperlink ref="T36" r:id="rId361" xr:uid="{D04162E6-519C-1546-8897-1EDCFC1A89E7}"/>
    <hyperlink ref="T37" r:id="rId362" xr:uid="{E75229C6-E211-4A43-9C04-76D4EE962A85}"/>
    <hyperlink ref="T38" r:id="rId363" xr:uid="{9191B04C-CF28-494F-B636-EDB774B17DCB}"/>
    <hyperlink ref="T39" r:id="rId364" xr:uid="{23B7F0BD-F03F-F54E-9FC5-494A6F96EA86}"/>
    <hyperlink ref="T40" r:id="rId365" xr:uid="{F1593024-1B7F-794C-8B3A-1B70736A7544}"/>
    <hyperlink ref="T42" r:id="rId366" xr:uid="{C1B155C2-8B0B-8140-B0AC-A5E694638900}"/>
    <hyperlink ref="T43" r:id="rId367" xr:uid="{FE921B2A-216A-8545-BEB0-24EC82E1140A}"/>
    <hyperlink ref="T44" r:id="rId368" xr:uid="{19378719-E8AD-074D-B811-874EBF52E780}"/>
    <hyperlink ref="T45" r:id="rId369" xr:uid="{97E77E06-40FB-DA40-BB9F-63B774B6567F}"/>
    <hyperlink ref="T46" r:id="rId370" xr:uid="{61051C4D-EF4D-7B45-A534-282AA802E988}"/>
    <hyperlink ref="T47" r:id="rId371" xr:uid="{3E81D091-E77A-9043-B5FF-796B10631158}"/>
    <hyperlink ref="T48" r:id="rId372" xr:uid="{A7BA6388-7BEF-C849-848D-FFB7D1BB2771}"/>
    <hyperlink ref="T51" r:id="rId373" location="page=537" xr:uid="{3D274BCD-B692-FA48-A872-FF5B9955429C}"/>
    <hyperlink ref="T52" r:id="rId374" location="page=537" xr:uid="{092E3DE0-20E2-F449-9E89-603B1A0FD511}"/>
    <hyperlink ref="T53" r:id="rId375" xr:uid="{9A87AEF0-1DE7-7E4C-9D20-D23EE574A27B}"/>
    <hyperlink ref="T54" r:id="rId376" xr:uid="{B81A75D5-6C60-6A40-B2BA-BF480CA03135}"/>
    <hyperlink ref="T174" r:id="rId377" xr:uid="{9E99A5B0-4930-D44B-B896-94A4F1314B0A}"/>
    <hyperlink ref="T175" r:id="rId378" xr:uid="{B4A0EB63-D53A-FD4F-AF3C-8E5DA80539DA}"/>
    <hyperlink ref="T176" r:id="rId379" xr:uid="{52D86361-5E92-704D-B5F6-C8C3A6EC088D}"/>
    <hyperlink ref="T177" r:id="rId380" xr:uid="{F26FB53D-CBBE-0D49-9E48-7D86375DA7DB}"/>
    <hyperlink ref="T178" r:id="rId381" xr:uid="{F4840E52-5161-C548-B858-48C5ABD51A2B}"/>
    <hyperlink ref="T179" r:id="rId382" xr:uid="{E0C09AB6-4B06-F94E-A480-BBBA0285FF1E}"/>
    <hyperlink ref="T180" r:id="rId383" xr:uid="{9E48A013-F158-094F-B1D4-C6F5D3ADF945}"/>
    <hyperlink ref="T181" r:id="rId384" xr:uid="{482E3844-9BE2-424F-8D19-D9BE51A87B91}"/>
    <hyperlink ref="T182" r:id="rId385" xr:uid="{C3BF1443-B5B3-5948-9C29-7014A1D0ABCC}"/>
    <hyperlink ref="T183" r:id="rId386" xr:uid="{56DCFF17-3726-1C48-860A-F811C1FFCA78}"/>
    <hyperlink ref="T184" r:id="rId387" xr:uid="{9A38D796-534E-CB4C-8B39-8E6E55E70CBF}"/>
    <hyperlink ref="T185" r:id="rId388" xr:uid="{1DAD5EE1-DD57-5647-9E58-F16F95F6D46E}"/>
    <hyperlink ref="T186" r:id="rId389" xr:uid="{6C98ADD0-1ACF-7B43-BEB1-EDA3F2D768FD}"/>
    <hyperlink ref="T187" r:id="rId390" xr:uid="{94D7950F-D6DD-484A-B5FC-1B52380CCE14}"/>
    <hyperlink ref="T188" r:id="rId391" xr:uid="{F595A0C7-31CA-9444-9574-3B07225FC22E}"/>
    <hyperlink ref="T189" r:id="rId392" xr:uid="{A64546CD-9225-DB44-B060-92DE17D016DB}"/>
    <hyperlink ref="T190" r:id="rId393" xr:uid="{B8D735F1-FF3A-764D-92DD-7C4363BE8608}"/>
    <hyperlink ref="T191" r:id="rId394" xr:uid="{8A156E8B-CC48-1D4B-A652-AFE23810F8CE}"/>
    <hyperlink ref="T192" r:id="rId395" xr:uid="{C25C509A-AFA7-9D4E-AFA0-4C3016028B63}"/>
    <hyperlink ref="T193" r:id="rId396" xr:uid="{438915E8-C46D-4F4D-A474-85E7D9CB6DBC}"/>
    <hyperlink ref="T194" r:id="rId397" xr:uid="{C8D8FCDF-9552-9945-B9AD-2B671E4ECD0D}"/>
    <hyperlink ref="T195" r:id="rId398" xr:uid="{EA87B225-3550-7F41-BE38-7031D6B46016}"/>
    <hyperlink ref="T196" r:id="rId399" xr:uid="{0066E211-CF6D-C340-B266-CEDBA112F03D}"/>
    <hyperlink ref="T197" r:id="rId400" xr:uid="{90157D71-E569-AA42-BB36-817A61E78766}"/>
    <hyperlink ref="T198" r:id="rId401" xr:uid="{A139E613-CAFE-D745-871E-F39F7EE58C22}"/>
    <hyperlink ref="T199" r:id="rId402" xr:uid="{69182F38-3A93-4347-BE29-9A17F1CBE4C0}"/>
    <hyperlink ref="T200" r:id="rId403" xr:uid="{C178FBC4-3359-7D45-82C9-5F757AB368F9}"/>
    <hyperlink ref="T201" r:id="rId404" xr:uid="{4C58157A-246B-D44C-8D65-D2A0CAB4E2C1}"/>
    <hyperlink ref="T202" r:id="rId405" xr:uid="{0FE32D5F-52E1-7041-9BF9-78139CFDB2AC}"/>
    <hyperlink ref="T203" r:id="rId406" xr:uid="{9B9568DE-61D1-524B-B380-1114EE74ED30}"/>
    <hyperlink ref="T204" r:id="rId407" xr:uid="{30FA0DB2-9D8A-FC4A-82FB-23A80477911D}"/>
    <hyperlink ref="T205" r:id="rId408" xr:uid="{D6B4CC0C-0C26-BE4D-A2F4-F024AB31A5C9}"/>
    <hyperlink ref="T206" r:id="rId409" xr:uid="{59FC98D9-6D15-2E46-8B8D-190F0D49892C}"/>
    <hyperlink ref="T207" r:id="rId410" xr:uid="{214DD4E6-5BFD-5143-B89C-34C9D61B0371}"/>
    <hyperlink ref="T208" r:id="rId411" xr:uid="{CF104F6B-BEA2-094C-BA66-FC503306CEDF}"/>
    <hyperlink ref="T209" r:id="rId412" xr:uid="{B902263E-25D9-BC4A-8C3E-4521EA2ACE2D}"/>
    <hyperlink ref="T210" r:id="rId413" xr:uid="{C55F2576-0D39-EF49-BC2A-5A44D3564775}"/>
    <hyperlink ref="T211" r:id="rId414" xr:uid="{D06DF154-8E8C-504B-9F4A-5757528034A1}"/>
    <hyperlink ref="T212" r:id="rId415" xr:uid="{788A4089-91F7-3C4D-9CB0-AED73183498A}"/>
    <hyperlink ref="T213" r:id="rId416" xr:uid="{FF8C0512-52FC-6143-B024-403929EBD59C}"/>
    <hyperlink ref="T214" r:id="rId417" xr:uid="{0B05ABDA-EB61-5E44-9A33-D90F4B216222}"/>
    <hyperlink ref="T215" r:id="rId418" xr:uid="{D35CC182-BB56-9245-BB86-76FE00518A1A}"/>
    <hyperlink ref="T216" r:id="rId419" xr:uid="{44AF0E41-578E-FA41-8066-118E982673BA}"/>
    <hyperlink ref="T217" r:id="rId420" xr:uid="{AC3041A8-8AC5-B34D-843B-FDEB4C4EB3BB}"/>
    <hyperlink ref="T218" r:id="rId421" xr:uid="{F17990CB-F68E-5A43-9C01-C50B0C769E4C}"/>
    <hyperlink ref="T219" r:id="rId422" xr:uid="{6D242490-DCBB-804F-BA9C-6CBAAFEF05A4}"/>
    <hyperlink ref="T220" r:id="rId423" xr:uid="{9AF0C9A8-99E8-BA4C-988E-2965E9C552FD}"/>
    <hyperlink ref="T221" r:id="rId424" xr:uid="{04CB1D26-607E-194A-A9B7-EE4C99CD450B}"/>
    <hyperlink ref="T222" r:id="rId425" xr:uid="{C04C6821-6F15-E046-8DB3-7424B7AD63CF}"/>
    <hyperlink ref="T223" r:id="rId426" xr:uid="{32E7CECC-966B-C246-B635-8FAC76C4BE88}"/>
    <hyperlink ref="T224" r:id="rId427" xr:uid="{22983B58-8C8F-1241-88EF-DBE3E7FEF6E6}"/>
    <hyperlink ref="T225" r:id="rId428" xr:uid="{A50D7F52-D8E4-E542-A7E2-726DBD3F4275}"/>
    <hyperlink ref="T226" r:id="rId429" xr:uid="{A54509B3-EDB2-F143-AA11-98A7A05E1EC9}"/>
    <hyperlink ref="T227" r:id="rId430" xr:uid="{BB6DE129-F1CA-FC4E-AC94-9F17A68D261D}"/>
    <hyperlink ref="T228" r:id="rId431" xr:uid="{C89F9871-966D-3649-8D05-00C49A42BA3A}"/>
    <hyperlink ref="T229" r:id="rId432" xr:uid="{DDAB493F-8CD5-8947-892C-3BC9A2E355EB}"/>
    <hyperlink ref="T230" r:id="rId433" xr:uid="{EEAB51B0-2662-C340-A915-04BD127EFC88}"/>
    <hyperlink ref="T231" r:id="rId434" xr:uid="{DBFB21CA-8095-B24C-83D2-504F5FE75096}"/>
    <hyperlink ref="T232" r:id="rId435" xr:uid="{F79B7241-38E9-B54E-948B-D7ACD4862123}"/>
    <hyperlink ref="T233" r:id="rId436" xr:uid="{4687CF1E-630A-F548-991C-95169576D8C9}"/>
    <hyperlink ref="T234" r:id="rId437" xr:uid="{2F8C530A-6539-D54E-81C4-7B8E9A030E21}"/>
    <hyperlink ref="T235" r:id="rId438" xr:uid="{404672DD-0141-5B4C-AC57-E1889D95EBD6}"/>
    <hyperlink ref="T236" r:id="rId439" xr:uid="{CAE8C278-C949-834C-9028-844EB5D2E3DD}"/>
    <hyperlink ref="T237" r:id="rId440" xr:uid="{3EB17BBE-F930-E64A-8ED0-FE823F67E409}"/>
    <hyperlink ref="T238" r:id="rId441" xr:uid="{D9C199EE-1512-2940-AF1E-61276C521662}"/>
    <hyperlink ref="T239" r:id="rId442" xr:uid="{018F5857-1124-EA4F-ABC8-455E62B75796}"/>
    <hyperlink ref="T240" r:id="rId443" xr:uid="{22CCC26F-BDF6-854F-9E84-F29871EFBE36}"/>
    <hyperlink ref="T241" r:id="rId444" xr:uid="{9E7929CD-E864-8D4E-B27C-096D2A6259E9}"/>
    <hyperlink ref="T242" r:id="rId445" xr:uid="{C557166D-D3F1-E340-A879-1F7905729F86}"/>
    <hyperlink ref="T243" r:id="rId446" xr:uid="{34446051-7975-6949-AFAD-206C743F3D63}"/>
    <hyperlink ref="T244" r:id="rId447" xr:uid="{4BC1A742-70E2-D34E-A618-BDE9E86F5610}"/>
    <hyperlink ref="T245" r:id="rId448" xr:uid="{BCDC43DD-F39C-E941-B529-122101B95A9B}"/>
    <hyperlink ref="T246" r:id="rId449" xr:uid="{A4590D8E-FB00-5146-A56D-6583E64F483D}"/>
    <hyperlink ref="T247" r:id="rId450" xr:uid="{79384C32-CD2D-E244-9F9E-BBD68B72BBB2}"/>
    <hyperlink ref="T248" r:id="rId451" xr:uid="{BD401731-5D3A-1144-A139-702D9722FF62}"/>
    <hyperlink ref="T249" r:id="rId452" xr:uid="{C06BD049-48C7-9940-AB79-98815FC99272}"/>
    <hyperlink ref="T250" r:id="rId453" xr:uid="{35E8F6BE-8114-F749-8F62-6FB48D991F21}"/>
    <hyperlink ref="T251" r:id="rId454" xr:uid="{CB097663-FE7A-2D43-8824-322D93629320}"/>
    <hyperlink ref="T252" r:id="rId455" xr:uid="{0A2783B0-7ED9-9F43-A460-609F8703EAEB}"/>
    <hyperlink ref="T253" r:id="rId456" xr:uid="{79215DB7-A59D-6B4D-8898-4F10CCB04CEA}"/>
    <hyperlink ref="T254" r:id="rId457" xr:uid="{6984A57B-1078-CF44-A8E9-FBE54487F3B6}"/>
    <hyperlink ref="T255" r:id="rId458" display="https://www.oecd.org/publications/citrus-fruits-9789264083745-en-fr.htm" xr:uid="{83E5562A-E6F5-B840-9EFB-2C335F748793}"/>
    <hyperlink ref="T256" r:id="rId459" xr:uid="{E26B049D-EC3B-1E48-9153-E8FB33A9937F}"/>
    <hyperlink ref="T257" r:id="rId460" xr:uid="{62D58B13-C083-BD4D-B093-B8C91419F086}"/>
    <hyperlink ref="T258" r:id="rId461" xr:uid="{1CF44868-7F0A-5B45-A0D5-22BCDA40AE8E}"/>
    <hyperlink ref="T259" r:id="rId462" xr:uid="{E5047775-3E67-DB4A-AA89-7FEA80DC4AF1}"/>
    <hyperlink ref="T260" r:id="rId463" xr:uid="{7B86DAA6-4637-BE44-8CDD-2A1040F09F9B}"/>
    <hyperlink ref="T261" r:id="rId464" xr:uid="{6106BB9D-CC3B-7A4B-9EC3-BEE63A61606A}"/>
    <hyperlink ref="T262" r:id="rId465" xr:uid="{F94B32C5-D3E3-D14D-B668-43DA044FDBDC}"/>
    <hyperlink ref="T263" r:id="rId466" xr:uid="{F81D321E-DD28-9240-B5A9-FBC37F032852}"/>
    <hyperlink ref="T264" r:id="rId467" xr:uid="{34B2F6F6-3CC2-C140-8F9C-A63CEECE1E79}"/>
    <hyperlink ref="T265" r:id="rId468" xr:uid="{5C669E4F-2A39-7948-9E54-3B9AB0C21F56}"/>
    <hyperlink ref="T266" r:id="rId469" xr:uid="{C75BAE2F-791E-2E4D-B574-216EBE8DA473}"/>
    <hyperlink ref="T267" r:id="rId470" display="https://www.oecd-ilibrary.org/docserver/9789264272941-en-fr.pdf?expires=1714684325&amp;id=id&amp;accname=guest&amp;checksum=51E7DB1330BBA930286B91FBC4337913" xr:uid="{753D8E24-2A01-3641-885E-2DBBA8938849}"/>
    <hyperlink ref="T268" r:id="rId471" display="https://www.oecd-ilibrary.org/docserver/9789264272941-en-fr.pdf?expires=1714684325&amp;id=id&amp;accname=guest&amp;checksum=51E7DB1330BBA930286B91FBC4337913" xr:uid="{C7AE12A9-46D2-4F45-875D-EDE85DDAD482}"/>
    <hyperlink ref="T269" r:id="rId472" display="https://www.oecd-ilibrary.org/docserver/9789264272941-en-fr.pdf?expires=1714684325&amp;id=id&amp;accname=guest&amp;checksum=51E7DB1330BBA930286B91FBC4337913" xr:uid="{1FCD787D-8CCD-B643-A228-85EFA3D2D996}"/>
    <hyperlink ref="T270" r:id="rId473" display="https://www.oecd-ilibrary.org/docserver/9789264272941-en-fr.pdf?expires=1714684325&amp;id=id&amp;accname=guest&amp;checksum=51E7DB1330BBA930286B91FBC4337913" xr:uid="{B4A61033-AED1-7941-964D-DF2E764A153C}"/>
    <hyperlink ref="T271" r:id="rId474" display="https://www.oecd-ilibrary.org/docserver/9789264272941-en-fr.pdf?expires=1714684325&amp;id=id&amp;accname=guest&amp;checksum=51E7DB1330BBA930286B91FBC4337913" xr:uid="{804DC6D1-F0B9-4042-BC5C-D443AB2CFCCB}"/>
    <hyperlink ref="T272" r:id="rId475" display="https://www.oecd-ilibrary.org/docserver/9789264272941-en-fr.pdf?expires=1714684325&amp;id=id&amp;accname=guest&amp;checksum=51E7DB1330BBA930286B91FBC4337913" xr:uid="{9D29AF74-1A0C-0F4C-9884-DD8764999FCF}"/>
    <hyperlink ref="T273" r:id="rId476" display="https://www.oecd-ilibrary.org/docserver/9789264272941-en-fr.pdf?expires=1714684325&amp;id=id&amp;accname=guest&amp;checksum=51E7DB1330BBA930286B91FBC4337913" xr:uid="{2ED01217-86BF-D74E-8153-978F28C8681D}"/>
    <hyperlink ref="T274" r:id="rId477" xr:uid="{C2E1E9BF-C3E6-024A-8562-2EAE16E0281A}"/>
    <hyperlink ref="T275" r:id="rId478" xr:uid="{9614C8C8-B176-0D44-986F-3C6B4FA17C03}"/>
    <hyperlink ref="T276" r:id="rId479" xr:uid="{A9F2BA6A-725F-3C4A-8662-C023A5BDDA8D}"/>
    <hyperlink ref="T277" r:id="rId480" xr:uid="{5F32347D-E84D-E348-AE98-4628DC3B199B}"/>
    <hyperlink ref="T278" r:id="rId481" xr:uid="{BB8B563F-1628-944B-B1EC-1EC7339FD83F}"/>
    <hyperlink ref="T279" r:id="rId482" xr:uid="{B6ECBC83-82E0-3749-9D62-57CB8C2C887E}"/>
    <hyperlink ref="T280" r:id="rId483" xr:uid="{8DF6B674-BD29-244C-9E48-695A9699E47D}"/>
    <hyperlink ref="T281" r:id="rId484" xr:uid="{932585D1-B634-2648-854C-F61C8D7B8E10}"/>
    <hyperlink ref="T282" r:id="rId485" xr:uid="{4A87B70D-A23E-D446-9836-F580E68C22EA}"/>
    <hyperlink ref="T283" r:id="rId486" xr:uid="{B32C067A-9435-1149-90BE-F481DE1222EC}"/>
    <hyperlink ref="T284" r:id="rId487" xr:uid="{872A663E-211A-054A-8219-6FAFD9915638}"/>
    <hyperlink ref="T285" r:id="rId488" xr:uid="{526527B3-B047-EB4C-8057-3ADC9EBE0D85}"/>
    <hyperlink ref="T286" r:id="rId489" display="https://www.oecd-ilibrary.org/docserver/dbf45fde-en-fr.pdf?expires=1714684486&amp;id=id&amp;accname=guest&amp;checksum=8EBA4104DBC1C842B5F0A1AF67690B24" xr:uid="{9F0883A0-DA5C-0D47-984C-5AAFF812CF12}"/>
    <hyperlink ref="T287" r:id="rId490" display="https://www.oecd-ilibrary.org/docserver/dbf45fde-en-fr.pdf?expires=1714684486&amp;id=id&amp;accname=guest&amp;checksum=8EBA4104DBC1C842B5F0A1AF67690B24" xr:uid="{C76152F9-38FF-8B49-933C-8E3EDCBE2C2D}"/>
    <hyperlink ref="T288" r:id="rId491" display="https://www.oecd-ilibrary.org/docserver/dbf45fde-en-fr.pdf?expires=1714684486&amp;id=id&amp;accname=guest&amp;checksum=8EBA4104DBC1C842B5F0A1AF67690B24" xr:uid="{4534095D-2852-D344-8F22-55A7CC43702F}"/>
    <hyperlink ref="T289" r:id="rId492" display="https://www.oecd-ilibrary.org/docserver/dbf45fde-en-fr.pdf?expires=1714684486&amp;id=id&amp;accname=guest&amp;checksum=8EBA4104DBC1C842B5F0A1AF67690B24" xr:uid="{ED13842E-36F1-F34B-8D63-328CC05572B3}"/>
    <hyperlink ref="T290" r:id="rId493" display="https://www.oecd-ilibrary.org/docserver/dbf45fde-en-fr.pdf?expires=1714684486&amp;id=id&amp;accname=guest&amp;checksum=8EBA4104DBC1C842B5F0A1AF67690B24" xr:uid="{FD2DE107-9C71-894A-8629-20E98A7C7091}"/>
    <hyperlink ref="T291" r:id="rId494" display="https://www.oecd-ilibrary.org/docserver/dbf45fde-en-fr.pdf?expires=1714684486&amp;id=id&amp;accname=guest&amp;checksum=8EBA4104DBC1C842B5F0A1AF67690B24" xr:uid="{CA1A5C34-DD6F-C24F-99D3-ACB6D019BAFE}"/>
    <hyperlink ref="T292" r:id="rId495" xr:uid="{71438431-5731-5D41-85BC-15EE604EEF9C}"/>
    <hyperlink ref="T293" r:id="rId496" xr:uid="{417C9C30-A8E6-2342-B01E-2E8FD8C947C8}"/>
    <hyperlink ref="T294" r:id="rId497" xr:uid="{454FC869-CBEC-DB47-96AA-9FE4C394F72A}"/>
    <hyperlink ref="T295" r:id="rId498" xr:uid="{17756BDC-56EF-884B-9432-B129B7D740F0}"/>
    <hyperlink ref="T296" r:id="rId499" xr:uid="{CF9366D4-477C-974D-9AEB-26B1A41D017C}"/>
    <hyperlink ref="T297" r:id="rId500" xr:uid="{CB249964-7F6B-AF42-BFE3-403AF0293D88}"/>
    <hyperlink ref="T298" r:id="rId501" xr:uid="{081568CE-3375-FC4D-8CD6-7BC64A4295D0}"/>
    <hyperlink ref="T299" r:id="rId502" xr:uid="{DECB53E9-F99D-B744-895E-B60E768E6C28}"/>
    <hyperlink ref="T300" r:id="rId503" xr:uid="{AB19E1C9-BFD1-4F43-876A-594DD1F4FA95}"/>
    <hyperlink ref="T301" r:id="rId504" xr:uid="{2272682F-2608-3049-A999-C0E190870AB8}"/>
    <hyperlink ref="T302" r:id="rId505" xr:uid="{4EF23C08-E540-8C44-A2A4-F83E30728B75}"/>
    <hyperlink ref="T303" r:id="rId506" xr:uid="{FCCC114E-E92E-9342-B184-DAD0C109D042}"/>
    <hyperlink ref="T304" r:id="rId507" xr:uid="{9BE82AF7-D9E0-3F47-8103-6FED9237CE92}"/>
    <hyperlink ref="T305" r:id="rId508" xr:uid="{C5745C0A-A3F3-3746-94BC-EE9FA8278AE3}"/>
    <hyperlink ref="T306" r:id="rId509" xr:uid="{A4B15A50-8D01-E446-AAD6-6429A6E37018}"/>
    <hyperlink ref="T307" r:id="rId510" xr:uid="{9471CD09-A7A8-6144-B8B3-AF9C63662683}"/>
    <hyperlink ref="T308" r:id="rId511" xr:uid="{46DBA835-F246-584E-86F8-F9C817E934EC}"/>
    <hyperlink ref="T309" r:id="rId512" xr:uid="{E84D4D33-86DA-FF48-A92D-B39D059D474C}"/>
    <hyperlink ref="T310" r:id="rId513" xr:uid="{476F0BC6-9645-DD48-B71E-422257CA41DB}"/>
    <hyperlink ref="T311" r:id="rId514" xr:uid="{6BD2E5AB-828D-FC49-BDDE-580611B60B57}"/>
    <hyperlink ref="T312" r:id="rId515" xr:uid="{3DAA760D-982F-2C4A-9028-C2A69CE07A4F}"/>
    <hyperlink ref="T313" r:id="rId516" xr:uid="{30318E04-E99D-1F45-8888-A73E8D28DCD0}"/>
    <hyperlink ref="T314" r:id="rId517" xr:uid="{8F4DB0EE-6357-6E48-83F7-A2CBE18675A1}"/>
    <hyperlink ref="T315" r:id="rId518" xr:uid="{EA89E797-665F-7843-8A42-568F4CD97C4C}"/>
    <hyperlink ref="T316" r:id="rId519" xr:uid="{8B31F5F4-F00A-E64E-9603-48D4B2DA1711}"/>
    <hyperlink ref="T317" r:id="rId520" xr:uid="{BD70708C-46A4-074C-BD82-01F95A4E24F3}"/>
    <hyperlink ref="T318" r:id="rId521" xr:uid="{E1F4484C-5BE9-514E-B69B-70554D2A2381}"/>
    <hyperlink ref="T319" r:id="rId522" xr:uid="{72415E71-E6C9-6340-8100-4E35C4753ECD}"/>
    <hyperlink ref="T320" r:id="rId523" xr:uid="{C51F5EFA-5AB1-BF47-AAFF-7837B79A9FE9}"/>
    <hyperlink ref="T321" r:id="rId524" xr:uid="{27E128F9-3396-954E-B750-1D0D4B517CA2}"/>
    <hyperlink ref="T322" r:id="rId525" xr:uid="{45CA6CFB-46AB-B141-B2DC-1769AE6BA16B}"/>
    <hyperlink ref="T323" r:id="rId526" xr:uid="{9C2B23A1-E242-A046-A71B-0AA84D064DDA}"/>
    <hyperlink ref="T324" r:id="rId527" xr:uid="{E648DEB1-0FEB-6C4C-B894-A298681D01E5}"/>
    <hyperlink ref="T325" r:id="rId528" xr:uid="{4206373C-90C0-1244-8DF0-FC3ADB6B1AF9}"/>
    <hyperlink ref="T326" r:id="rId529" display="https://www.oecd-ilibrary.org/docserver/dda2dfce-en-fr.pdf?expires=1714684906&amp;id=id&amp;accname=guest&amp;checksum=F9E18B0470BCBB1240457C7D3BA41C20" xr:uid="{07D81E0C-E9A3-414D-BDAA-765F6E31CACC}"/>
    <hyperlink ref="T327" r:id="rId530" display="https://www.oecd-ilibrary.org/docserver/dda2dfce-en-fr.pdf?expires=1714684906&amp;id=id&amp;accname=guest&amp;checksum=F9E18B0470BCBB1240457C7D3BA41C20" xr:uid="{5B9CEE5C-410C-4649-B0A5-F2F526D34414}"/>
    <hyperlink ref="T328" r:id="rId531" display="https://www.oecd-ilibrary.org/docserver/dda2dfce-en-fr.pdf?expires=1714684906&amp;id=id&amp;accname=guest&amp;checksum=F9E18B0470BCBB1240457C7D3BA41C20" xr:uid="{08C9B8C5-27E6-414E-A8A8-714C47091739}"/>
    <hyperlink ref="T329" r:id="rId532" display="https://www.oecd-ilibrary.org/docserver/dda2dfce-en-fr.pdf?expires=1714684906&amp;id=id&amp;accname=guest&amp;checksum=F9E18B0470BCBB1240457C7D3BA41C20" xr:uid="{0570352C-583C-6548-B09A-1685C3A0DFC3}"/>
    <hyperlink ref="T330" r:id="rId533" display="https://www.oecd-ilibrary.org/docserver/dda2dfce-en-fr.pdf?expires=1714684906&amp;id=id&amp;accname=guest&amp;checksum=F9E18B0470BCBB1240457C7D3BA41C20" xr:uid="{498023F5-5B14-5F4A-9D0A-3BD1E867F726}"/>
    <hyperlink ref="T331" r:id="rId534" display="https://www.oecd-ilibrary.org/docserver/dda2dfce-en-fr.pdf?expires=1714684906&amp;id=id&amp;accname=guest&amp;checksum=F9E18B0470BCBB1240457C7D3BA41C20" xr:uid="{34671C1F-C034-7742-BD1F-BD0B747ED5D7}"/>
    <hyperlink ref="T332" r:id="rId535" display="https://www.oecd-ilibrary.org/docserver/dda2dfce-en-fr.pdf?expires=1714684906&amp;id=id&amp;accname=guest&amp;checksum=F9E18B0470BCBB1240457C7D3BA41C20" xr:uid="{AB4995A9-5594-E149-AAB6-FA6E7FA09D74}"/>
    <hyperlink ref="T333" r:id="rId536" display="https://www.oecd-ilibrary.org/docserver/dda2dfce-en-fr.pdf?expires=1714684906&amp;id=id&amp;accname=guest&amp;checksum=F9E18B0470BCBB1240457C7D3BA41C20" xr:uid="{50700090-DCDE-FB40-95CF-CF18863DA13D}"/>
    <hyperlink ref="T334" r:id="rId537" display="https://www.oecd-ilibrary.org/docserver/dda2dfce-en-fr.pdf?expires=1714684906&amp;id=id&amp;accname=guest&amp;checksum=F9E18B0470BCBB1240457C7D3BA41C20" xr:uid="{EC5B69EF-6D69-5442-9245-88DAD085FC00}"/>
    <hyperlink ref="T335" r:id="rId538" location="page1" xr:uid="{98EF7D86-1212-CE44-8A0D-B54D55A10036}"/>
    <hyperlink ref="T336" r:id="rId539" location="page1" display="https://read.oecd-ilibrary.org/agriculture-and-food/pomegranate_9789264206700-en-fr#page1" xr:uid="{CEBF66A2-327D-2546-B821-A38888A61669}"/>
    <hyperlink ref="T337" r:id="rId540" location="page1" display="https://read.oecd-ilibrary.org/agriculture-and-food/pomegranate_9789264206700-en-fr#page1" xr:uid="{695733AD-569A-9247-9CAF-6A492510CDEC}"/>
    <hyperlink ref="T338" r:id="rId541" location="page1" display="https://read.oecd-ilibrary.org/agriculture-and-food/pomegranate_9789264206700-en-fr#page1" xr:uid="{6401DFFB-1129-F240-A6B9-1BA2AF815D88}"/>
    <hyperlink ref="T339" r:id="rId542" location="page1" display="https://read.oecd-ilibrary.org/agriculture-and-food/pomegranate_9789264206700-en-fr#page1" xr:uid="{A02E3759-B8D9-0A43-8F64-41B565C754F1}"/>
    <hyperlink ref="T340" r:id="rId543" location="page1" display="https://read.oecd-ilibrary.org/agriculture-and-food/pomegranate_9789264206700-en-fr#page1" xr:uid="{C7663B8B-0F39-EF4B-9075-29602F7A97E3}"/>
    <hyperlink ref="T341" r:id="rId544" location="page1" display="https://read.oecd-ilibrary.org/agriculture-and-food/pomegranate_9789264206700-en-fr#page1" xr:uid="{B286A0B4-D496-2742-901B-8829B7403955}"/>
    <hyperlink ref="T342" r:id="rId545" location="page1" display="https://read.oecd-ilibrary.org/agriculture-and-food/pomegranate_9789264206700-en-fr#page1" xr:uid="{9108B30C-5CFD-5F4D-8B80-8B5911E7009A}"/>
    <hyperlink ref="T343" r:id="rId546" location="page1" xr:uid="{942C3FD3-CBA8-FA48-9388-3D9436FC3775}"/>
    <hyperlink ref="T344" r:id="rId547" location="page1" display="https://read.oecd-ilibrary.org/agriculture-and-food/early-and-ware-potatoes_9789264068391-en-fr#page1" xr:uid="{478B6C68-E6C7-164E-A5F4-A2B070E40C86}"/>
    <hyperlink ref="T345" r:id="rId548" location="page1" display="https://read.oecd-ilibrary.org/agriculture-and-food/early-and-ware-potatoes_9789264068391-en-fr#page1" xr:uid="{DCC0F908-9A13-A040-A42C-906D19EC4A2F}"/>
    <hyperlink ref="T346" r:id="rId549" location="page1" display="https://read.oecd-ilibrary.org/agriculture-and-food/early-and-ware-potatoes_9789264068391-en-fr#page1" xr:uid="{96BF9C93-9EC7-D141-95D6-5E1CF441F36A}"/>
    <hyperlink ref="T347" r:id="rId550" location="page1" display="https://read.oecd-ilibrary.org/agriculture-and-food/early-and-ware-potatoes_9789264068391-en-fr#page1" xr:uid="{3F182824-3A72-E543-B8C9-B0932922BD63}"/>
    <hyperlink ref="T348" r:id="rId551" location="page1" display="https://read.oecd-ilibrary.org/agriculture-and-food/early-and-ware-potatoes_9789264068391-en-fr#page1" xr:uid="{88AB2A90-8D15-F241-80FA-1E65FB63198C}"/>
    <hyperlink ref="T349" r:id="rId552" location="page1" display="https://read.oecd-ilibrary.org/agriculture-and-food/early-and-ware-potatoes_9789264068391-en-fr#page1" xr:uid="{53663ECB-78BB-7A40-AF78-A84366F3BB99}"/>
    <hyperlink ref="T350" r:id="rId553" location="page1" display="https://read.oecd-ilibrary.org/agriculture-and-food/early-and-ware-potatoes_9789264068391-en-fr#page1" xr:uid="{6B40A1C1-5489-F84B-BCA6-0D8623C7EB36}"/>
    <hyperlink ref="T351" r:id="rId554" location="page1" display="https://read.oecd-ilibrary.org/agriculture-and-food/early-and-ware-potatoes_9789264068391-en-fr#page1" xr:uid="{7253A561-DB87-9245-8468-8E73B9993656}"/>
    <hyperlink ref="T352" r:id="rId555" location="page1" display="https://read.oecd-ilibrary.org/agriculture-and-food/early-and-ware-potatoes_9789264068391-en-fr#page1" xr:uid="{2306A3A3-05E6-2340-A26B-9BCDC865D1F0}"/>
    <hyperlink ref="T353" r:id="rId556" xr:uid="{DC7B9244-46E3-B84F-95FD-EE38CCCF1347}"/>
    <hyperlink ref="T354" r:id="rId557" xr:uid="{E714E2C0-A068-7043-B33F-EC9ED3DD4243}"/>
    <hyperlink ref="T355" r:id="rId558" xr:uid="{54F6FFE5-DF10-A84C-8289-7B5187029E3D}"/>
    <hyperlink ref="T356" r:id="rId559" xr:uid="{E2C3BA01-F401-AB46-BB12-4B48464C9CCA}"/>
    <hyperlink ref="T357" r:id="rId560" xr:uid="{F0673452-A63B-3447-B153-AB29225B7E95}"/>
    <hyperlink ref="T358" r:id="rId561" xr:uid="{6F1434C4-8746-0047-BEC1-E148A465711E}"/>
    <hyperlink ref="T359" r:id="rId562" location="page1" xr:uid="{1F2DF767-6784-884D-8244-BC9552952CE1}"/>
    <hyperlink ref="T360" r:id="rId563" location="page1" display="https://read.oecd-ilibrary.org/agriculture-and-food/shallots_9789264213265-en-fr#page1" xr:uid="{C4B1C1AC-41A5-D84D-BE2B-91BCF7BB98AA}"/>
    <hyperlink ref="T361" r:id="rId564" location="page1" display="https://read.oecd-ilibrary.org/agriculture-and-food/shallots_9789264213265-en-fr#page1" xr:uid="{E38358A1-137E-B04F-92D5-0DFEB29A3CA4}"/>
    <hyperlink ref="T362" r:id="rId565" location="page1" display="https://read.oecd-ilibrary.org/agriculture-and-food/shallots_9789264213265-en-fr#page1" xr:uid="{9E7F3C96-63A2-8340-9669-675D02463E87}"/>
    <hyperlink ref="T363" r:id="rId566" location="page1" display="https://read.oecd-ilibrary.org/agriculture-and-food/shallots_9789264213265-en-fr#page1" xr:uid="{350126EC-B12E-AB4F-A58B-64FCFE0EB1BE}"/>
    <hyperlink ref="T364" r:id="rId567" location="page1" display="https://read.oecd-ilibrary.org/agriculture-and-food/shallots_9789264213265-en-fr#page1" xr:uid="{DE1A1560-2205-C24A-B28C-0F3173935931}"/>
    <hyperlink ref="T365" r:id="rId568" location="page1" display="https://read.oecd-ilibrary.org/agriculture-and-food/shallots_9789264213265-en-fr#page1" xr:uid="{91E75D9A-BE4B-2A47-81D4-133D3826D465}"/>
    <hyperlink ref="T366" r:id="rId569" location="page1" display="https://read.oecd-ilibrary.org/agriculture-and-food/shallots_9789264213265-en-fr#page1" xr:uid="{F40EF2AB-5020-2F45-ACFF-CC2C031151BE}"/>
    <hyperlink ref="T367" r:id="rId570" xr:uid="{6BC917F5-3DAA-DA4A-9EF2-932978E94903}"/>
    <hyperlink ref="T368" r:id="rId571" xr:uid="{1DB9ABB0-CD1F-B344-9F91-E01FDD1DA1FD}"/>
    <hyperlink ref="T369" r:id="rId572" xr:uid="{90CA13C4-B65A-604E-82E2-F8ECBAD1A3AC}"/>
    <hyperlink ref="T370" r:id="rId573" xr:uid="{D8E5E283-2992-0A4A-B0A8-D09B374F6DE1}"/>
    <hyperlink ref="T371" r:id="rId574" xr:uid="{01E0340E-6551-2146-8433-B7FD6A335DAD}"/>
    <hyperlink ref="T372" r:id="rId575" xr:uid="{B34BEDC9-39CB-9E46-80EE-2379CFAA7538}"/>
    <hyperlink ref="T373" r:id="rId576" xr:uid="{8373851C-FEE5-8246-AFC6-8D13FB4994E8}"/>
    <hyperlink ref="T374" r:id="rId577" xr:uid="{7F1BF406-6D4E-3F4C-B83D-3A6E67ECA23B}"/>
    <hyperlink ref="T375" r:id="rId578" xr:uid="{1817F59C-EF63-384D-8710-CF050182734A}"/>
    <hyperlink ref="T376" r:id="rId579" xr:uid="{0008EE6E-EF5A-D14D-B905-9ED540153E6D}"/>
    <hyperlink ref="T377" r:id="rId580" xr:uid="{FE429654-D77E-9740-AC15-AFD57169C87B}"/>
    <hyperlink ref="T378" r:id="rId581" xr:uid="{042111C5-FFBF-1244-AE73-FAF1A16235C4}"/>
    <hyperlink ref="T379" r:id="rId582" xr:uid="{D7825753-C770-754D-821B-10702382020B}"/>
    <hyperlink ref="T380" r:id="rId583" xr:uid="{62F13974-91F3-AE41-8592-9A773294F10F}"/>
    <hyperlink ref="T381" r:id="rId584" xr:uid="{B091AE68-C68E-344B-B757-F8607C73C010}"/>
    <hyperlink ref="T382" r:id="rId585" xr:uid="{17B0A447-F956-5343-BDE4-CB52A28762F7}"/>
    <hyperlink ref="T383" r:id="rId586" xr:uid="{31C5DEA9-97D8-D141-BC5D-F8347FE379E2}"/>
    <hyperlink ref="T384" r:id="rId587" xr:uid="{DCB7E99D-2ECC-9B45-903E-596F13C6FF89}"/>
    <hyperlink ref="T385" r:id="rId588" location="page1" xr:uid="{00A8C5C0-3181-9D46-95A8-85B246864AEC}"/>
    <hyperlink ref="T386" r:id="rId589" location="page1" display="https://read.oecd-ilibrary.org/agriculture-and-food/international-standards-for-fruit-and-vegetables_9789264116351-en-fr#page1" xr:uid="{3A23A451-7160-B248-B2B2-91B8F182E12C}"/>
    <hyperlink ref="T387" r:id="rId590" location="page1" display="https://read.oecd-ilibrary.org/agriculture-and-food/international-standards-for-fruit-and-vegetables_9789264116351-en-fr#page1" xr:uid="{2E1AF567-1F18-0C48-87B8-58726F9A9A07}"/>
    <hyperlink ref="T388" r:id="rId591" location="page1" display="https://read.oecd-ilibrary.org/agriculture-and-food/international-standards-for-fruit-and-vegetables_9789264116351-en-fr#page1" xr:uid="{ED061245-759F-B247-8589-258743A8617F}"/>
    <hyperlink ref="T389" r:id="rId592" location="page1" display="https://read.oecd-ilibrary.org/agriculture-and-food/international-standards-for-fruit-and-vegetables_9789264116351-en-fr#page1" xr:uid="{77A86451-7358-0649-904B-C2A84C0BBAE9}"/>
    <hyperlink ref="T390" r:id="rId593" location="page1" display="https://read.oecd-ilibrary.org/agriculture-and-food/international-standards-for-fruit-and-vegetables_9789264116351-en-fr#page1" xr:uid="{AD3716FC-5738-2241-8747-EA40B4B5D87E}"/>
    <hyperlink ref="T391" r:id="rId594" location="page1" display="https://read.oecd-ilibrary.org/agriculture-and-food/international-standards-for-fruit-and-vegetables_9789264116351-en-fr#page1" xr:uid="{EBA473C8-B01B-4849-9DAB-9DE49A55E4E1}"/>
    <hyperlink ref="T392" r:id="rId595" location="page1" display="https://read.oecd-ilibrary.org/agriculture-and-food/international-standards-for-fruit-and-vegetables_9789264116351-en-fr#page1" xr:uid="{7650C5CF-F9A7-1D41-9510-260AABDD9090}"/>
    <hyperlink ref="T393" r:id="rId596" xr:uid="{8F585C0C-08E5-5D4B-9FAE-3F3FA7082697}"/>
    <hyperlink ref="T394" r:id="rId597" xr:uid="{9540D33B-DD0B-0947-8F9D-707963B24E39}"/>
    <hyperlink ref="T395" r:id="rId598" xr:uid="{7DFF210B-7ECA-D54B-9AB0-B198248A39D8}"/>
    <hyperlink ref="T396" r:id="rId599" xr:uid="{DDF7A5A0-B14E-3E40-B788-74F90C85C38A}"/>
    <hyperlink ref="T397" r:id="rId600" xr:uid="{EDB54703-6443-C646-8A2D-D9F4112672F9}"/>
    <hyperlink ref="T398" r:id="rId601" xr:uid="{278BA315-8C6D-B04E-935B-DF653794FF96}"/>
    <hyperlink ref="T399" r:id="rId602" xr:uid="{BB3FE2DA-D234-2447-ABC0-D8209A10FB69}"/>
    <hyperlink ref="T400" r:id="rId603" xr:uid="{1B759859-64A1-8F49-8EE6-2CBE3AA19BEA}"/>
    <hyperlink ref="T401" r:id="rId604" xr:uid="{584F4271-0506-3D40-8A60-EDC1F317E68E}"/>
    <hyperlink ref="T402" r:id="rId605" xr:uid="{6D89B3AC-7AAC-6446-8C04-1AD3EFF22686}"/>
    <hyperlink ref="T403" r:id="rId606" xr:uid="{ED026E08-23C1-C549-AA71-E97A09BC3814}"/>
    <hyperlink ref="T404" r:id="rId607" xr:uid="{08AC501F-1DD7-1045-8E14-2FCA30B65A7D}"/>
    <hyperlink ref="T405" r:id="rId608" xr:uid="{65DE737A-F7CC-6148-8541-BC39FAD5D8B8}"/>
    <hyperlink ref="T406" r:id="rId609" xr:uid="{4EC3296E-7489-254A-AAE3-F5BD82DEC1F7}"/>
    <hyperlink ref="T407" r:id="rId610" xr:uid="{D5185774-9078-284E-8E6A-41CCB99FF3CD}"/>
    <hyperlink ref="T408" r:id="rId611" xr:uid="{430E5DB9-01D8-794C-8E48-869D489E2311}"/>
    <hyperlink ref="T409" r:id="rId612" xr:uid="{E8624D9D-DD1F-2848-B8F1-57EBEAD3CC27}"/>
    <hyperlink ref="T410" r:id="rId613" xr:uid="{353125DC-8283-124B-81BE-1052550FD97C}"/>
    <hyperlink ref="T411" r:id="rId614" xr:uid="{C9F91730-B55A-5C4F-B3AB-5127595971F9}"/>
    <hyperlink ref="T412" r:id="rId615" xr:uid="{C888AD31-15E0-604C-A36A-04768881B212}"/>
    <hyperlink ref="T413" r:id="rId616" xr:uid="{42C3A085-EE27-104C-A2A0-E4A7E3B17CE8}"/>
    <hyperlink ref="T414" r:id="rId617" xr:uid="{D11B5F23-5AB5-E34C-838E-BDC56120E39B}"/>
    <hyperlink ref="T415" r:id="rId618" xr:uid="{AA2DF2D0-B92E-9B44-B43E-F72D4828EB6B}"/>
    <hyperlink ref="T416" r:id="rId619" xr:uid="{8854BF5E-84A2-7645-AB22-1934492198D9}"/>
    <hyperlink ref="T417" r:id="rId620" xr:uid="{F6385541-E202-FD4F-914F-6229F388F322}"/>
    <hyperlink ref="T418" r:id="rId621" xr:uid="{0967DE5F-9F85-324C-B35C-D8032ABC89F6}"/>
    <hyperlink ref="T419" r:id="rId622" xr:uid="{80A39F60-633B-6045-AFF7-EBC66FF278A1}"/>
    <hyperlink ref="T420" r:id="rId623" xr:uid="{FA38042A-44D9-3143-916B-E72F454573F0}"/>
    <hyperlink ref="T421" r:id="rId624" xr:uid="{282FCFCF-330C-2044-AD69-8C66F76ACF24}"/>
    <hyperlink ref="T422" r:id="rId625" xr:uid="{6A8563EF-73C3-6642-9C72-ED9E868BE9FE}"/>
    <hyperlink ref="T423" r:id="rId626" xr:uid="{04277648-0F10-C244-92E5-3331E3725491}"/>
    <hyperlink ref="T424" r:id="rId627" xr:uid="{A5F4452D-5E3D-6549-B52B-6DC95DBDEAB0}"/>
    <hyperlink ref="T425" r:id="rId628" xr:uid="{90D65DA3-21A9-004E-8262-E13D7A450A03}"/>
    <hyperlink ref="T426" r:id="rId629" xr:uid="{747DA97B-C5B6-E541-828A-55A6D1A0797F}"/>
    <hyperlink ref="T427" r:id="rId630" xr:uid="{D3E962F8-6512-0D4E-9B1D-09151BCB2A63}"/>
    <hyperlink ref="T428" r:id="rId631" xr:uid="{1FA3F9BE-6BD2-2B4C-A5EB-59DC11AC6478}"/>
    <hyperlink ref="T429" r:id="rId632" xr:uid="{707DD2D8-BC84-2444-A242-517D58738EB8}"/>
    <hyperlink ref="T430" r:id="rId633" xr:uid="{BDDE9E6F-8FAC-8345-AB73-2E1D33863A8A}"/>
    <hyperlink ref="T431" r:id="rId634" xr:uid="{F7268116-4560-1C4D-9DFB-2184D2CFC955}"/>
    <hyperlink ref="T432" r:id="rId635" location="page1" xr:uid="{9798BC99-7381-1D45-A9FD-381F15054245}"/>
    <hyperlink ref="T433" r:id="rId636" location="page1" display="https://read.oecd-ilibrary.org/agriculture-and-food/carrots_9789264081871-en-fr#page1" xr:uid="{08341D36-E2FD-0048-9909-B191F87C7A5D}"/>
    <hyperlink ref="T434" r:id="rId637" location="page1" display="https://read.oecd-ilibrary.org/agriculture-and-food/carrots_9789264081871-en-fr#page1" xr:uid="{31464506-6B6F-0945-A493-B9EF5A734501}"/>
    <hyperlink ref="T435" r:id="rId638" location="page1" display="https://read.oecd-ilibrary.org/agriculture-and-food/carrots_9789264081871-en-fr#page1" xr:uid="{DFB14484-2129-B345-B7CB-2794A6B3E2A6}"/>
    <hyperlink ref="T436" r:id="rId639" location="page1" display="https://read.oecd-ilibrary.org/agriculture-and-food/carrots_9789264081871-en-fr#page1" xr:uid="{0A966F5D-E898-BC4F-87BF-C894A9F658CB}"/>
    <hyperlink ref="T437" r:id="rId640" location="page1" display="https://read.oecd-ilibrary.org/agriculture-and-food/carrots_9789264081871-en-fr#page1" xr:uid="{97B9D5BF-194D-6248-9DAC-C81DE4FF5146}"/>
    <hyperlink ref="T438" r:id="rId641" location="page1" display="https://read.oecd-ilibrary.org/agriculture-and-food/carrots_9789264081871-en-fr#page1" xr:uid="{07042478-4738-CF47-85D1-8595D59C94B8}"/>
    <hyperlink ref="T439" r:id="rId642" location="page1" display="https://read.oecd-ilibrary.org/agriculture-and-food/carrots_9789264081871-en-fr#page1" xr:uid="{28D812FB-7FAA-F548-82B8-376C80BE5A5A}"/>
    <hyperlink ref="T440" r:id="rId643" xr:uid="{A66EA0CF-B1DD-5D4E-BD3C-942E719CC8D5}"/>
    <hyperlink ref="T441" r:id="rId644" xr:uid="{8524B521-B7DB-6E49-B3AF-84A9289A7992}"/>
    <hyperlink ref="T442" r:id="rId645" xr:uid="{6CD3FB3F-D2B4-9343-8F81-F544D5518ECB}"/>
    <hyperlink ref="T443" r:id="rId646" xr:uid="{144D05A2-8740-3B47-851A-459BC37DA77D}"/>
    <hyperlink ref="T444" r:id="rId647" xr:uid="{EF1ADBED-67E4-3645-B6B4-7797700D7261}"/>
    <hyperlink ref="T445" r:id="rId648" xr:uid="{B782EC0A-4A58-0E48-A893-B37E81055FE0}"/>
    <hyperlink ref="T446" r:id="rId649" xr:uid="{89D00B57-B814-3D44-83D8-0C8872555416}"/>
    <hyperlink ref="T447" r:id="rId650" xr:uid="{8612A3BD-7927-074A-959C-E55E593F3142}"/>
    <hyperlink ref="T448" r:id="rId651" xr:uid="{DD96461F-C43C-C349-94AF-7249968A2863}"/>
    <hyperlink ref="T449" r:id="rId652" xr:uid="{6FCBD1DF-7622-AE4B-A3D1-DD1B3626CB98}"/>
    <hyperlink ref="T450" r:id="rId653" xr:uid="{A47EE201-27E2-A544-B348-480720823BEC}"/>
    <hyperlink ref="T451" r:id="rId654" xr:uid="{8F22DDEE-DEF7-E34D-AB1C-A31799AB1D7D}"/>
    <hyperlink ref="T452" r:id="rId655" xr:uid="{75271D58-A755-7E48-B417-7062FDB80471}"/>
    <hyperlink ref="T453" r:id="rId656" xr:uid="{BDCCC625-AFFF-344B-B7A8-0DD710758F24}"/>
    <hyperlink ref="T454" r:id="rId657" xr:uid="{D2466485-B7E6-AF44-8A32-3E925DC1B5BD}"/>
    <hyperlink ref="T455" r:id="rId658" xr:uid="{07C41F4E-3A3C-6F41-9CBD-26AABA8E0E2A}"/>
    <hyperlink ref="T456" r:id="rId659" xr:uid="{020EE209-B0F6-CF47-BDD9-F229834E16A9}"/>
    <hyperlink ref="T457" r:id="rId660" xr:uid="{161FC12F-C51E-B744-B2DD-2810502678B8}"/>
    <hyperlink ref="T458" r:id="rId661" xr:uid="{65EC1497-7287-6645-BF84-DB2EDEDF0E2E}"/>
    <hyperlink ref="T459" r:id="rId662" xr:uid="{8256C17E-F10C-224F-A037-47360E11FD37}"/>
    <hyperlink ref="T460" r:id="rId663" xr:uid="{E78D3353-7E3C-634F-8D12-25A53ED66F8A}"/>
    <hyperlink ref="T461" r:id="rId664" xr:uid="{848B5F16-E32D-2F4A-AE40-A1A925FF0690}"/>
    <hyperlink ref="T462" r:id="rId665" xr:uid="{ECA57664-CDA3-834C-8EE7-81FC615638E8}"/>
    <hyperlink ref="T463" r:id="rId666" xr:uid="{A093BDE1-5DCA-7B4B-8DBA-F795A7539220}"/>
    <hyperlink ref="T464" r:id="rId667" xr:uid="{060E6CF5-A422-2540-979E-6538F54E6437}"/>
    <hyperlink ref="T465" r:id="rId668" location="page1" xr:uid="{E911E593-0CFB-5B42-A371-AF6AC019B069}"/>
    <hyperlink ref="T466" r:id="rId669" location="page1" display="https://read.oecd-ilibrary.org/agriculture-and-food/cucumbers_9789264045262-en-fr#page1" xr:uid="{618CB2AA-5967-4A49-B324-C6840C5C1871}"/>
    <hyperlink ref="T467" r:id="rId670" location="page1" display="https://read.oecd-ilibrary.org/agriculture-and-food/cucumbers_9789264045262-en-fr#page1" xr:uid="{8A07D5A5-09BB-E349-8931-A2E32073C9A9}"/>
    <hyperlink ref="T468" r:id="rId671" location="page1" display="https://read.oecd-ilibrary.org/agriculture-and-food/cucumbers_9789264045262-en-fr#page1" xr:uid="{29AFF562-D423-994C-926B-93F3A62099DA}"/>
    <hyperlink ref="T469" r:id="rId672" location="page1" display="https://read.oecd-ilibrary.org/agriculture-and-food/cucumbers_9789264045262-en-fr#page1" xr:uid="{A6754ECE-E811-3345-8330-F7E432DC6372}"/>
    <hyperlink ref="T470" r:id="rId673" location="page1" display="https://read.oecd-ilibrary.org/agriculture-and-food/cucumbers_9789264045262-en-fr#page1" xr:uid="{0C761406-AFB7-CE41-9027-C5A89F939FC2}"/>
    <hyperlink ref="T471" r:id="rId674" location="page1" display="https://read.oecd-ilibrary.org/agriculture-and-food/cucumbers_9789264045262-en-fr#page1" xr:uid="{856A39AF-A118-224D-8D1F-D2315C3E40B5}"/>
    <hyperlink ref="T472" r:id="rId675" location="page1" display="https://read.oecd-ilibrary.org/agriculture-and-food/cucumbers_9789264045262-en-fr#page1" xr:uid="{93396BA2-90E3-614D-949F-27B940ADE756}"/>
    <hyperlink ref="T473" r:id="rId676" location="page1" xr:uid="{F373DFD5-CF6B-8D44-B872-E2416BF381B8}"/>
    <hyperlink ref="T474" r:id="rId677" location="page1" display="https://read.oecd-ilibrary.org/agriculture-and-food/cultivated-mushrooms_9789264013261-en-fr#page1" xr:uid="{256067DE-D19E-2C43-BE57-EC9D4875BC8C}"/>
    <hyperlink ref="T475" r:id="rId678" location="page1" display="https://read.oecd-ilibrary.org/agriculture-and-food/cultivated-mushrooms_9789264013261-en-fr#page1" xr:uid="{977FC088-367E-374E-8EA9-0C2EAE151377}"/>
    <hyperlink ref="T476" r:id="rId679" location="page1" display="https://read.oecd-ilibrary.org/agriculture-and-food/cultivated-mushrooms_9789264013261-en-fr#page1" xr:uid="{71CE645B-4A66-8442-96D0-16F2497F1331}"/>
    <hyperlink ref="T477" r:id="rId680" location="page1" display="https://read.oecd-ilibrary.org/agriculture-and-food/cultivated-mushrooms_9789264013261-en-fr#page1" xr:uid="{BF52004D-9B5E-7649-926D-1CC3A9279BB1}"/>
    <hyperlink ref="T478" r:id="rId681" location="page1" display="https://read.oecd-ilibrary.org/agriculture-and-food/cultivated-mushrooms_9789264013261-en-fr#page1" xr:uid="{28C86FCE-00BF-5947-B05F-0979BBF042BE}"/>
    <hyperlink ref="T479" r:id="rId682" location="page1" display="https://read.oecd-ilibrary.org/agriculture-and-food/cultivated-mushrooms_9789264013261-en-fr#page1" xr:uid="{F6105907-877D-D546-9A40-3100EA72EAD7}"/>
    <hyperlink ref="T480" r:id="rId683" location="page1" display="https://read.oecd-ilibrary.org/agriculture-and-food/cultivated-mushrooms_9789264013261-en-fr#page1" xr:uid="{14618EB8-8C51-9441-B9B3-AFFFAA6D2A6E}"/>
    <hyperlink ref="T481" r:id="rId684" display="https://unece.org/sites/default/files/2024-03/FFV-57_Berry_fruits_2023_e.pdf" xr:uid="{0B09459D-65D3-A844-AAB8-5C6EF8F36C89}"/>
    <hyperlink ref="T482" r:id="rId685" display="https://unece.org/sites/default/files/2024-03/FFV-57_Berry_fruits_2023_e.pdf" xr:uid="{C290E83B-1A4E-CC43-BC81-0123F5B6FB9B}"/>
    <hyperlink ref="T483" r:id="rId686" display="https://unece.org/sites/default/files/2024-03/FFV-57_Berry_fruits_2023_e.pdf" xr:uid="{E02BB96C-1696-D748-A6C4-2A56F14E7C45}"/>
    <hyperlink ref="T484" r:id="rId687" display="https://unece.org/sites/default/files/2024-03/FFV-57_Berry_fruits_2023_e.pdf" xr:uid="{0B0C7AAF-03A8-ED40-AD23-77C4CE0E4711}"/>
    <hyperlink ref="T485" r:id="rId688" display="https://unece.org/sites/default/files/2024-03/FFV-57_Berry_fruits_2023_e.pdf" xr:uid="{F3D53BB3-49F8-984F-A7C0-A9CE72DFCCA1}"/>
    <hyperlink ref="T486" r:id="rId689" display="https://unece.org/sites/default/files/2024-03/FFV-57_Berry_fruits_2023_e.pdf" xr:uid="{3CEC9612-C1AF-4E4E-8740-05254C14A687}"/>
    <hyperlink ref="T487" r:id="rId690" display="https://unece.org/sites/default/files/2024-03/FFV-57_Berry_fruits_2023_e.pdf" xr:uid="{9AEF6D20-F3DC-1446-9599-E53EC9C3D41C}"/>
    <hyperlink ref="T488" r:id="rId691" display="https://unece.org/sites/default/files/2024-03/FFV-08_Brussels_sprouts_2023_e.pdf" xr:uid="{8F8DBA85-AC64-B946-93B3-AFE92A263BA9}"/>
    <hyperlink ref="T489" r:id="rId692" display="https://unece.org/sites/default/files/2024-03/FFV-08_Brussels_sprouts_2023_e.pdf" xr:uid="{4C21748E-76F2-BD4B-816F-BB36AD05CCE9}"/>
    <hyperlink ref="T490" r:id="rId693" display="https://unece.org/sites/default/files/2024-03/FFV-08_Brussels_sprouts_2023_e.pdf" xr:uid="{FA12E95F-B6A5-844E-A21D-A8A66FA2E18E}"/>
    <hyperlink ref="T491" r:id="rId694" display="https://unece.org/sites/default/files/2024-03/FFV-08_Brussels_sprouts_2023_e.pdf" xr:uid="{5A3E24DD-D74A-4545-A12E-C20F6CFBCB44}"/>
    <hyperlink ref="T492" r:id="rId695" display="https://unece.org/sites/default/files/2024-03/FFV-08_Brussels_sprouts_2023_e.pdf" xr:uid="{AFAC92EF-3211-524E-BCE7-56BFE8F7351D}"/>
    <hyperlink ref="T493" r:id="rId696" display="https://unece.org/sites/default/files/2024-03/FFV-08_Brussels_sprouts_2023_e.pdf" xr:uid="{C8B6B283-B7C5-D542-A3A8-CB1956845EB3}"/>
    <hyperlink ref="T494" r:id="rId697" display="https://unece.org/sites/default/files/2024-03/FFV-08_Brussels_sprouts_2023_e.pdf" xr:uid="{3F2D183C-7D77-F540-BCFE-E8AEA99FB5B3}"/>
    <hyperlink ref="T495" r:id="rId698" display="https://unece.org/sites/default/files/2024-03/FFV-08_Brussels_sprouts_2023_e.pdf" xr:uid="{1A0360F4-0122-8746-8D85-9FF233756CAD}"/>
    <hyperlink ref="T496" r:id="rId699" display="https://unece.org/sites/default/files/2024-03/FFV-09_Headed_cabbages_2023_e.pdf" xr:uid="{713929D6-4133-FE49-BC0F-AF85F7B27359}"/>
    <hyperlink ref="T497" r:id="rId700" display="https://unece.org/sites/default/files/2024-03/FFV-09_Headed_cabbages_2023_e.pdf" xr:uid="{D8013C25-0611-7E42-99FF-F4D3E7463545}"/>
    <hyperlink ref="T498" r:id="rId701" display="https://unece.org/sites/default/files/2024-03/FFV-09_Headed_cabbages_2023_e.pdf" xr:uid="{1255F6D8-6100-AE4A-A207-AD45DF442ECD}"/>
    <hyperlink ref="T499" r:id="rId702" display="https://unece.org/sites/default/files/2024-03/FFV-09_Headed_cabbages_2023_e.pdf" xr:uid="{6CA17D91-325C-2F4E-9F02-21D54E5AA1CE}"/>
    <hyperlink ref="T500" r:id="rId703" display="https://unece.org/sites/default/files/2024-03/FFV-09_Headed_cabbages_2023_e.pdf" xr:uid="{801B9A92-E863-314A-97A0-46E97C6D9F95}"/>
    <hyperlink ref="T501" r:id="rId704" display="https://unece.org/sites/default/files/2024-03/FFV-09_Headed_cabbages_2023_e.pdf" xr:uid="{1ED85676-A209-8F4B-B633-D12FDC75283D}"/>
    <hyperlink ref="T502" r:id="rId705" display="https://unece.org/sites/default/files/2024-03/FFV-09_Headed_cabbages_2023_e.pdf" xr:uid="{CF7259B3-1F3B-A94E-88FF-F84721847A5E}"/>
    <hyperlink ref="T503" r:id="rId706" display="https://unece.org/sites/default/files/2024-03/FFV-09_Headed_cabbages_2023_e.pdf" xr:uid="{6561BB38-71E1-9740-9276-E05806A1189A}"/>
    <hyperlink ref="T504" r:id="rId707" display="https://unece.org/sites/default/files/2024-03/FFV-03_Artichokes_2023_e.pdf" xr:uid="{31CE6F35-2F49-3B44-9E55-B1D4F3469E25}"/>
    <hyperlink ref="T505" r:id="rId708" display="https://unece.org/sites/default/files/2024-03/FFV-03_Artichokes_2023_e.pdf" xr:uid="{BCB2D497-2AC3-454A-BF08-8574A36CF252}"/>
    <hyperlink ref="T506" r:id="rId709" display="https://unece.org/sites/default/files/2024-03/FFV-03_Artichokes_2023_e.pdf" xr:uid="{17FC3B3C-7D4C-4D4E-A6C2-757AA1482C1C}"/>
    <hyperlink ref="T507" r:id="rId710" display="https://unece.org/sites/default/files/2024-03/FFV-03_Artichokes_2023_e.pdf" xr:uid="{FE5B4B6A-ECE5-D749-A3D7-AC9040B8E9C0}"/>
    <hyperlink ref="T508" r:id="rId711" display="https://unece.org/sites/default/files/2024-03/FFV-03_Artichokes_2023_e.pdf" xr:uid="{68886C7D-6706-124F-99D9-67F4ABF7C7BF}"/>
    <hyperlink ref="T509" r:id="rId712" display="https://unece.org/sites/default/files/2024-03/FFV-03_Artichokes_2023_e.pdf" xr:uid="{25561598-6C27-0342-AA3B-172FC743D4EE}"/>
    <hyperlink ref="T510" r:id="rId713" display="https://unece.org/sites/default/files/2024-03/FFV-03_Artichokes_2023_e.pdf" xr:uid="{76247E70-3B5D-E949-9F45-DE235869EF5B}"/>
    <hyperlink ref="T511" r:id="rId714" display="https://unece.org/sites/default/files/2024-03/FFV-03_Artichokes_2023_e.pdf" xr:uid="{3B79BAC3-4FE1-6040-A8E7-64C554D85F58}"/>
    <hyperlink ref="T520" r:id="rId715" display="https://unece.org/sites/default/files/2024-03/FFV-47_Annonas_2023_e.pdf" xr:uid="{A137A280-E299-9040-8C58-5CB3155C48DD}"/>
    <hyperlink ref="T521" r:id="rId716" display="https://unece.org/sites/default/files/2024-03/FFV-47_Annonas_2023_e.pdf" xr:uid="{C0997F3F-FCEF-274F-98E5-4077F804726C}"/>
    <hyperlink ref="T522" r:id="rId717" display="https://unece.org/sites/default/files/2024-03/FFV-47_Annonas_2023_e.pdf" xr:uid="{6972FFB8-A926-A040-AE7B-5E6D1DA56F2B}"/>
    <hyperlink ref="T523" r:id="rId718" display="https://unece.org/sites/default/files/2024-03/FFV-47_Annonas_2023_e.pdf" xr:uid="{B3EC85E4-E335-684E-AB05-457807066B82}"/>
    <hyperlink ref="T524" r:id="rId719" display="https://unece.org/sites/default/files/2024-03/FFV-47_Annonas_2023_e.pdf" xr:uid="{1F023147-C8FA-A14E-81DA-49E372F6ECE2}"/>
    <hyperlink ref="T525" r:id="rId720" display="https://unece.org/sites/default/files/2024-03/FFV-47_Annonas_2023_e.pdf" xr:uid="{F75767C7-2766-5148-ADED-48233C56E23F}"/>
    <hyperlink ref="T526" r:id="rId721" display="https://unece.org/sites/default/files/2024-03/FFV-47_Annonas_2023_e.pdf" xr:uid="{9AFFAAC4-F9E6-0945-956C-C494E00C99ED}"/>
    <hyperlink ref="T527" r:id="rId722" display="https://unece.org/sites/default/files/2024-03/FFV-47_Annonas_2023_e.pdf" xr:uid="{830EECC1-AC53-FF4B-9453-4132A9BD3FCE}"/>
    <hyperlink ref="T528" r:id="rId723" display="https://unece.org/sites/default/files/2024-03/FFV-47_Annonas_2023_e.pdf" xr:uid="{A652067D-65FE-A242-BA5F-49EBBDE0C337}"/>
    <hyperlink ref="T529" r:id="rId724" display="https://unece.org/sites/default/files/2023-12/FFV11_Cauliflowers_2023_e.pdf" xr:uid="{43E210A2-7F4B-024D-8343-49CFC1719F2E}"/>
    <hyperlink ref="T530" r:id="rId725" display="https://unece.org/sites/default/files/2023-12/FFV11_Cauliflowers_2023_e.pdf" xr:uid="{9E1A5336-E2EA-0047-8682-BBEF02D6FC6F}"/>
    <hyperlink ref="T531" r:id="rId726" display="https://unece.org/sites/default/files/2023-12/FFV11_Cauliflowers_2023_e.pdf" xr:uid="{A4FA1316-A30E-CF4D-9C47-1391F76AD96A}"/>
    <hyperlink ref="T532" r:id="rId727" display="https://unece.org/sites/default/files/2023-12/FFV11_Cauliflowers_2023_e.pdf" xr:uid="{111D9E11-EC85-094E-B28A-B9077ACFAA7F}"/>
    <hyperlink ref="T533" r:id="rId728" display="https://unece.org/sites/default/files/2023-12/FFV11_Cauliflowers_2023_e.pdf" xr:uid="{F4FAD142-1E7D-2B49-A2E1-80B0BC2AB530}"/>
    <hyperlink ref="T534" r:id="rId729" display="https://unece.org/sites/default/files/2023-12/FFV11_Cauliflowers_2023_e.pdf" xr:uid="{1D3F6F00-94EE-904C-9E2E-A9734A74867A}"/>
    <hyperlink ref="T535" r:id="rId730" display="https://unece.org/sites/default/files/2023-12/FFV11_Cauliflowers_2023_e.pdf" xr:uid="{4E7167CD-EB10-534C-A000-236463EA93D0}"/>
    <hyperlink ref="T536" r:id="rId731" display="https://unece.org/sites/default/files/2023-12/FFV11_Cauliflowers_2023_e.pdf" xr:uid="{56E51ECB-BF8B-1A4D-80D5-B58FA03A4AB4}"/>
    <hyperlink ref="T537" r:id="rId732" display="https://unece.org/sites/default/files/2024-03/FFV-55_Chanterelles_2023_e.pdf" xr:uid="{A8D209E5-BF1F-FC4D-A6AC-D6C0F9EBC2F4}"/>
    <hyperlink ref="T538" r:id="rId733" display="https://unece.org/sites/default/files/2024-03/FFV-55_Chanterelles_2023_e.pdf" xr:uid="{D24B9FFB-7F64-DB40-8F7D-79E8D1A85C98}"/>
    <hyperlink ref="T539" r:id="rId734" display="https://unece.org/sites/default/files/2024-03/FFV-55_Chanterelles_2023_e.pdf" xr:uid="{697CFD51-94CD-E740-A82C-3D98D3A121C2}"/>
    <hyperlink ref="T540" r:id="rId735" display="https://unece.org/sites/default/files/2024-03/FFV-55_Chanterelles_2023_e.pdf" xr:uid="{2D339633-0495-1C43-A7B2-9A05F9C7E363}"/>
    <hyperlink ref="T541" r:id="rId736" display="https://unece.org/sites/default/files/2024-03/FFV-55_Chanterelles_2023_e.pdf" xr:uid="{F114D4D9-A586-B34B-92EC-30966A219A9F}"/>
    <hyperlink ref="T542" r:id="rId737" display="https://unece.org/sites/default/files/2024-03/FFV-55_Chanterelles_2023_e.pdf" xr:uid="{F602B866-2C6C-6444-848A-E0DBCE927D25}"/>
    <hyperlink ref="T543" r:id="rId738" display="https://unece.org/sites/default/files/2024-03/FFV-55_Chanterelles_2023_e.pdf" xr:uid="{34F0202A-5388-E446-8007-71F299766322}"/>
    <hyperlink ref="T544" r:id="rId739" display="https://unece.org/sites/default/files/2024-03/FFV-55_Chanterelles_2023_e.pdf" xr:uid="{59539464-19CD-7E49-8C71-A5079D4FBA70}"/>
    <hyperlink ref="T545" r:id="rId740" display="https://unece.org/sites/default/files/2023-12/FFV-65_Certain_small_fruits_2023_e_0.pdf" xr:uid="{9E86F205-607F-8748-B798-C6F8E3EE20B6}"/>
    <hyperlink ref="T546" r:id="rId741" display="https://unece.org/sites/default/files/2023-12/FFV-65_Certain_small_fruits_2023_e_0.pdf" xr:uid="{3703C83E-FDA1-9547-A02B-FD4B4F178972}"/>
    <hyperlink ref="T547" r:id="rId742" display="https://unece.org/sites/default/files/2023-12/FFV-65_Certain_small_fruits_2023_e_0.pdf" xr:uid="{C78E4C3C-A3F9-F04E-8F0D-186515000426}"/>
    <hyperlink ref="T548" r:id="rId743" display="https://unece.org/sites/default/files/2023-12/FFV-65_Certain_small_fruits_2023_e_0.pdf" xr:uid="{FAD150C6-4733-2047-89AF-1B5F48290D1C}"/>
    <hyperlink ref="T549" r:id="rId744" display="https://unece.org/sites/default/files/2023-12/FFV-65_Certain_small_fruits_2023_e_0.pdf" xr:uid="{7CAED7BA-7325-E748-9118-E1A7A5879673}"/>
    <hyperlink ref="T550" r:id="rId745" display="https://unece.org/sites/default/files/2023-12/FFV-65_Certain_small_fruits_2023_e_0.pdf" xr:uid="{0AEF240C-5D5A-9340-A51F-19E084482AE5}"/>
    <hyperlink ref="T551" r:id="rId746" display="https://unece.org/sites/default/files/2023-12/FFV-65_Certain_small_fruits_2023_e_0.pdf" xr:uid="{7E419C42-FFFC-3E45-B716-416C846BD26F}"/>
    <hyperlink ref="T552" r:id="rId747" display="https://unece.org/sites/default/files/2024-03/FFV-54_Ceps_2023_e.pdf" xr:uid="{01B3FEEC-11F8-D84B-8D98-91EF5F1C0A13}"/>
    <hyperlink ref="T553" r:id="rId748" display="https://unece.org/sites/default/files/2024-03/FFV-54_Ceps_2023_e.pdf" xr:uid="{483259B4-DA3C-9E46-9721-C38167825C7D}"/>
    <hyperlink ref="T554" r:id="rId749" display="https://unece.org/sites/default/files/2024-03/FFV-54_Ceps_2023_e.pdf" xr:uid="{D571A30C-98FD-8D46-BC2C-58C56FAF439B}"/>
    <hyperlink ref="T555" r:id="rId750" display="https://unece.org/sites/default/files/2024-03/FFV-54_Ceps_2023_e.pdf" xr:uid="{2EEA6E9E-13A5-3446-A6BE-ED594E7076AD}"/>
    <hyperlink ref="T556" r:id="rId751" display="https://unece.org/sites/default/files/2024-03/FFV-54_Ceps_2023_e.pdf" xr:uid="{8A2B8D8A-1F39-0D48-84C3-A8C87221563D}"/>
    <hyperlink ref="T557" r:id="rId752" display="https://unece.org/sites/default/files/2024-03/FFV-54_Ceps_2023_e.pdf" xr:uid="{D973C448-A2E5-8445-8A77-DF44B4928EE8}"/>
    <hyperlink ref="T558" r:id="rId753" display="https://unece.org/sites/default/files/2024-03/FFV-54_Ceps_2023_e.pdf" xr:uid="{A9FDBF13-F4A8-7142-9F0D-92F5CAF0C87A}"/>
    <hyperlink ref="T559" r:id="rId754" display="https://unece.org/sites/default/files/2024-03/FFV-54_Ceps_2023_e.pdf" xr:uid="{46E0CEE7-151F-D94B-817E-7B9E0B4A6109}"/>
    <hyperlink ref="T560" r:id="rId755" display="https://unece.org/sites/default/files/2024-03/FFV-61_Chilli_peppers_2023_e.pdf" xr:uid="{1CA6688D-E8D6-AB49-AFE0-4681B98E345F}"/>
    <hyperlink ref="T561" r:id="rId756" display="https://unece.org/sites/default/files/2024-03/FFV-61_Chilli_peppers_2023_e.pdf" xr:uid="{700D97A8-FCBB-D94B-AD36-D620E1F63A9D}"/>
    <hyperlink ref="T562" r:id="rId757" display="https://unece.org/sites/default/files/2024-03/FFV-61_Chilli_peppers_2023_e.pdf" xr:uid="{FB065011-6EE6-4642-B7DE-D7C392B9E4EB}"/>
    <hyperlink ref="T563" r:id="rId758" display="https://unece.org/sites/default/files/2024-03/FFV-61_Chilli_peppers_2023_e.pdf" xr:uid="{74FAD3D1-0DD8-1542-985C-15443B514EA0}"/>
    <hyperlink ref="T564" r:id="rId759" display="https://unece.org/sites/default/files/2024-03/FFV-61_Chilli_peppers_2023_e.pdf" xr:uid="{5B2A31D8-251A-A945-87C1-7797156116EF}"/>
    <hyperlink ref="T565" r:id="rId760" display="https://unece.org/sites/default/files/2024-03/FFV-61_Chilli_peppers_2023_e.pdf" xr:uid="{824849B8-EAF3-A541-9616-C660632C6F85}"/>
    <hyperlink ref="T566" r:id="rId761" display="https://unece.org/sites/default/files/2024-03/FFV-61_Chilli_peppers_2023_e.pdf" xr:uid="{F7855E75-F7A8-E64C-AF08-7E39B87F7237}"/>
    <hyperlink ref="T567" r:id="rId762" display="https://unece.org/sites/default/files/2024-03/FFV-61_Chilli_peppers_2023_e.pdf" xr:uid="{1417BAC7-CC41-ED43-81BB-3142C126DBF0}"/>
    <hyperlink ref="T568" r:id="rId763" display="https://unece.org/sites/default/files/2024-03/FFV-41_Courgettes_2023_e.pdf" xr:uid="{10849035-8597-D747-835E-C55977D12822}"/>
    <hyperlink ref="T569" r:id="rId764" display="https://unece.org/sites/default/files/2024-03/FFV-41_Courgettes_2023_e.pdf" xr:uid="{76273497-F282-2941-8577-7FF1BE35A7EA}"/>
    <hyperlink ref="T570" r:id="rId765" display="https://unece.org/sites/default/files/2024-03/FFV-41_Courgettes_2023_e.pdf" xr:uid="{6964331E-6DD4-6F4D-ADE5-32F92A0C7666}"/>
    <hyperlink ref="T571" r:id="rId766" display="https://unece.org/sites/default/files/2024-03/FFV-41_Courgettes_2023_e.pdf" xr:uid="{739EEEB9-6EDA-2B45-A5DD-BB70520C9214}"/>
    <hyperlink ref="T572" r:id="rId767" display="https://unece.org/sites/default/files/2024-03/FFV-41_Courgettes_2023_e.pdf" xr:uid="{3CECA70A-2BC7-1747-8222-5941EBA4E4AF}"/>
    <hyperlink ref="T573" r:id="rId768" display="https://unece.org/sites/default/files/2024-03/FFV-41_Courgettes_2023_e.pdf" xr:uid="{1E92371D-D020-934F-B7F9-30503C49B396}"/>
    <hyperlink ref="T574" r:id="rId769" display="https://unece.org/sites/default/files/2024-03/FFV-41_Courgettes_2023_e.pdf" xr:uid="{A4124BAE-5393-A949-BD5B-E408288F2401}"/>
    <hyperlink ref="T575" r:id="rId770" display="https://unece.org/sites/default/files/2024-03/FFV-41_Courgettes_2023_e.pdf" xr:uid="{87FE4A84-DC79-4041-B66A-4C034C2CBC12}"/>
    <hyperlink ref="T576" r:id="rId771" display="https://unece.org/sites/default/files/2024-03/FFV-16_Fennel_2023_e.pdf" xr:uid="{F13D556A-5988-594C-9F71-D93B959C7565}"/>
    <hyperlink ref="T577" r:id="rId772" display="https://unece.org/sites/default/files/2024-03/FFV-16_Fennel_2023_e.pdf" xr:uid="{91F0B1C3-2824-4E48-AD10-DC44710EA7EA}"/>
    <hyperlink ref="T578" r:id="rId773" display="https://unece.org/sites/default/files/2024-03/FFV-16_Fennel_2023_e.pdf" xr:uid="{637CE0C3-4D32-FA4A-B637-C7162510BD17}"/>
    <hyperlink ref="T579" r:id="rId774" display="https://unece.org/sites/default/files/2024-03/FFV-16_Fennel_2023_e.pdf" xr:uid="{46AA4A8F-77C9-514B-87D2-7A7EC2105DF0}"/>
    <hyperlink ref="T580" r:id="rId775" display="https://unece.org/sites/default/files/2024-03/FFV-16_Fennel_2023_e.pdf" xr:uid="{BFE1C595-630C-174C-BA91-7C237AC6F9AB}"/>
    <hyperlink ref="T581" r:id="rId776" display="https://unece.org/sites/default/files/2024-03/FFV-16_Fennel_2023_e.pdf" xr:uid="{B2EE5091-BA92-DE49-B048-3EDF60A88F35}"/>
    <hyperlink ref="T582" r:id="rId777" display="https://unece.org/sites/default/files/2024-03/FFV-16_Fennel_2023_e.pdf" xr:uid="{0464F0A4-A209-9D46-AECE-BDC8FD1C930A}"/>
    <hyperlink ref="T583" r:id="rId778" display="https://unece.org/sites/default/files/2024-03/FFV-16_Fennel_2023_e.pdf" xr:uid="{E239AD03-7EB2-B946-A4FD-48231209A5D4}"/>
    <hyperlink ref="T584" r:id="rId779" display="https://unece.org/sites/default/files/2023-12/FFV-58_Leafy_vegetables_2023_e.pdf" xr:uid="{603EF95B-3360-FA43-B639-C5281E53F54F}"/>
    <hyperlink ref="T585" r:id="rId780" display="https://unece.org/sites/default/files/2023-12/FFV-58_Leafy_vegetables_2023_e.pdf" xr:uid="{076312C0-9B8E-2F45-A1BD-86B5A3FB22E8}"/>
    <hyperlink ref="T586" r:id="rId781" display="https://unece.org/sites/default/files/2023-12/FFV-58_Leafy_vegetables_2023_e.pdf" xr:uid="{06DAE3E0-F72E-FC42-8198-F891057303B2}"/>
    <hyperlink ref="T587" r:id="rId782" display="https://unece.org/sites/default/files/2023-12/FFV-58_Leafy_vegetables_2023_e.pdf" xr:uid="{B4B5467B-907E-C84B-A5D3-3AF1404B1E4F}"/>
    <hyperlink ref="T588" r:id="rId783" display="https://unece.org/sites/default/files/2023-12/FFV-58_Leafy_vegetables_2023_e.pdf" xr:uid="{4923A8C1-95EE-5847-90F9-E41F9070C7E7}"/>
    <hyperlink ref="T589" r:id="rId784" display="https://unece.org/sites/default/files/2023-12/FFV-58_Leafy_vegetables_2023_e.pdf" xr:uid="{0F0D0080-3C0F-CA42-BB83-0C1D0782930C}"/>
    <hyperlink ref="T590" r:id="rId785" display="https://unece.org/sites/default/files/2023-12/FFV-27_Peas_2023_e.pdf" xr:uid="{82242690-FD74-8340-9240-EDF6BDCE775B}"/>
    <hyperlink ref="T591" r:id="rId786" display="https://unece.org/sites/default/files/2023-12/FFV-27_Peas_2023_e.pdf" xr:uid="{065EE149-72A0-8941-A3AD-E0342BA045FA}"/>
    <hyperlink ref="T592" r:id="rId787" display="https://unece.org/sites/default/files/2023-12/FFV-27_Peas_2023_e.pdf" xr:uid="{4327A49E-40BD-3B4D-818D-5B8730FF463B}"/>
    <hyperlink ref="T593" r:id="rId788" display="https://unece.org/sites/default/files/2023-12/FFV-27_Peas_2023_e.pdf" xr:uid="{4C0D3BD8-9FE6-E94A-8E73-E9E853599A08}"/>
    <hyperlink ref="T594" r:id="rId789" display="https://unece.org/sites/default/files/2023-12/FFV-27_Peas_2023_e.pdf" xr:uid="{64849267-7278-7B4C-BD9E-E24227138BF1}"/>
    <hyperlink ref="T595" r:id="rId790" display="https://unece.org/sites/default/files/2023-12/FFV-27_Peas_2023_e.pdf" xr:uid="{93F978F7-8226-D348-B212-A4BD344178F8}"/>
    <hyperlink ref="T596" r:id="rId791" display="https://unece.org/sites/default/files/2024-03/FFV-63_Persimmons_2023_e.pdf" xr:uid="{C1534E13-7B31-CA4A-B3F8-F55364882C43}"/>
    <hyperlink ref="T597" r:id="rId792" display="https://unece.org/sites/default/files/2024-03/FFV-63_Persimmons_2023_e.pdf" xr:uid="{5A784FD3-793E-DA43-99A5-FAEA62E49A87}"/>
    <hyperlink ref="T598" r:id="rId793" display="https://unece.org/sites/default/files/2024-03/FFV-63_Persimmons_2023_e.pdf" xr:uid="{A2D2A7F8-98BD-3B4A-BDF3-9BE07A6F492B}"/>
    <hyperlink ref="T599" r:id="rId794" display="https://unece.org/sites/default/files/2024-03/FFV-63_Persimmons_2023_e.pdf" xr:uid="{50CBB80D-1F0C-2746-93EA-18C959847052}"/>
    <hyperlink ref="T600" r:id="rId795" display="https://unece.org/sites/default/files/2024-03/FFV-63_Persimmons_2023_e.pdf" xr:uid="{20D78A49-06AE-5047-8472-8BB489E514EB}"/>
    <hyperlink ref="T601" r:id="rId796" display="https://unece.org/sites/default/files/2024-03/FFV-63_Persimmons_2023_e.pdf" xr:uid="{4CBB293E-3476-A34E-8EE8-070EBCBD3691}"/>
    <hyperlink ref="T602" r:id="rId797" display="https://unece.org/sites/default/files/2024-03/FFV-63_Persimmons_2023_e.pdf" xr:uid="{ADCC927A-7C2D-9444-AD0B-FE14B8F96CDC}"/>
    <hyperlink ref="T603" r:id="rId798" display="https://unece.org/sites/default/files/2024-03/FFV-63_Persimmons_2023_e.pdf" xr:uid="{36089E71-24EB-004C-91D1-471B4B6FF4FF}"/>
    <hyperlink ref="T604" r:id="rId799" display="https://unece.org/sites/default/files/2024-03/FFV-63_Persimmons_2023_e.pdf" xr:uid="{34172DFD-24A7-9649-82C2-5794DEC96B67}"/>
    <hyperlink ref="T605" r:id="rId800" display="https://unece.org/sites/default/files/2024-03/FFV-62_Quince_2023_e.pdf" xr:uid="{691FF5C7-7996-E84F-AD41-F81A34FBEDD5}"/>
    <hyperlink ref="T606" r:id="rId801" display="https://unece.org/sites/default/files/2024-03/FFV-62_Quince_2023_e.pdf" xr:uid="{AA3B7F39-1DDB-3A4A-9E42-33E6CF950281}"/>
    <hyperlink ref="T607" r:id="rId802" display="https://unece.org/sites/default/files/2024-03/FFV-62_Quince_2023_e.pdf" xr:uid="{61AC4293-0032-B247-8CA9-2EBBC7D9BB6D}"/>
    <hyperlink ref="T608" r:id="rId803" display="https://unece.org/sites/default/files/2024-03/FFV-62_Quince_2023_e.pdf" xr:uid="{ABD999A4-B734-4D4C-9683-64F06264C79D}"/>
    <hyperlink ref="T609" r:id="rId804" display="https://unece.org/sites/default/files/2024-03/FFV-62_Quince_2023_e.pdf" xr:uid="{2935A10A-7C4A-5A4C-861F-F405A9F50FD2}"/>
    <hyperlink ref="T610" r:id="rId805" display="https://unece.org/sites/default/files/2024-03/FFV-62_Quince_2023_e.pdf" xr:uid="{DD0D7D44-3D82-EB49-9BB7-6D0929782BDD}"/>
    <hyperlink ref="T611" r:id="rId806" display="https://unece.org/sites/default/files/2024-03/FFV-62_Quince_2023_e.pdf" xr:uid="{49867A3A-0258-AD42-A4D0-60EFEAB247B3}"/>
    <hyperlink ref="T612" r:id="rId807" display="https://unece.org/sites/default/files/2024-03/FFV-62_Quince_2023_e.pdf" xr:uid="{9B2577C1-2814-2A41-A862-C2BA2DCD3600}"/>
    <hyperlink ref="T613" r:id="rId808" display="https://unece.org/sites/default/files/2024-03/FFV-62_Quince_2023_e.pdf" xr:uid="{7114A6F6-CF13-314B-8354-B0584179B98A}"/>
    <hyperlink ref="T614" r:id="rId809" display="https://unece.org/sites/default/files/2024-03/FFV-12_Ribbed_celery_2023_e.pdf" xr:uid="{42C50707-9D11-5E41-9B7D-621FE330CBD0}"/>
    <hyperlink ref="T615" r:id="rId810" display="https://unece.org/sites/default/files/2024-03/FFV-12_Ribbed_celery_2023_e.pdf" xr:uid="{5B5B9711-A1F8-7148-8BB8-50086D53D0CB}"/>
    <hyperlink ref="T616" r:id="rId811" display="https://unece.org/sites/default/files/2024-03/FFV-12_Ribbed_celery_2023_e.pdf" xr:uid="{022FD87C-2B2A-F540-9728-1E891D5B168B}"/>
    <hyperlink ref="T617" r:id="rId812" display="https://unece.org/sites/default/files/2024-03/FFV-12_Ribbed_celery_2023_e.pdf" xr:uid="{8CC9588F-B120-BF4A-B0F5-066E6A15FC7E}"/>
    <hyperlink ref="T618" r:id="rId813" display="https://unece.org/sites/default/files/2024-03/FFV-12_Ribbed_celery_2023_e.pdf" xr:uid="{52ECBB8A-0BD0-7444-B496-13F01142D02A}"/>
    <hyperlink ref="T619" r:id="rId814" display="https://unece.org/sites/default/files/2024-03/FFV-12_Ribbed_celery_2023_e.pdf" xr:uid="{A818C5F7-C034-8645-BF14-461F21809529}"/>
    <hyperlink ref="T620" r:id="rId815" display="https://unece.org/sites/default/files/2024-03/FFV-12_Ribbed_celery_2023_e.pdf" xr:uid="{F593507C-FFFD-2447-B614-C06F9DEF09CC}"/>
    <hyperlink ref="T621" r:id="rId816" display="https://unece.org/sites/default/files/2024-03/FFV-12_Ribbed_celery_2023_e.pdf" xr:uid="{129E2206-F169-1447-AAF8-FFC3BD63CAD7}"/>
    <hyperlink ref="T622" r:id="rId817" display="https://unece.org/sites/default/files/2023-12/FFV-39_Sweet_Chestnuts_2023_e.pdf" xr:uid="{84D32E6B-F394-6645-8EC9-DFE1FCAFD91E}"/>
    <hyperlink ref="T623" r:id="rId818" display="https://unece.org/sites/default/files/2023-12/FFV-39_Sweet_Chestnuts_2023_e.pdf" xr:uid="{B7162B72-4657-FE4A-8901-71A9A4994E77}"/>
    <hyperlink ref="T624" r:id="rId819" display="https://unece.org/sites/default/files/2023-12/FFV-39_Sweet_Chestnuts_2023_e.pdf" xr:uid="{D30B1AE5-47BA-8642-851F-E511963B92E7}"/>
    <hyperlink ref="T625" r:id="rId820" display="https://unece.org/sites/default/files/2023-12/FFV-39_Sweet_Chestnuts_2023_e.pdf" xr:uid="{D051C509-012A-5F47-BE41-B437679D67AD}"/>
    <hyperlink ref="T626" r:id="rId821" display="https://unece.org/sites/default/files/2023-12/FFV-39_Sweet_Chestnuts_2023_e.pdf" xr:uid="{26E5441A-CE00-DB4F-BA2D-B73A91A83FC1}"/>
    <hyperlink ref="T627" r:id="rId822" display="https://unece.org/sites/default/files/2023-12/FFV-39_Sweet_Chestnuts_2023_e.pdf" xr:uid="{4719110C-007B-6440-AFFC-39DBB0F8BEF1}"/>
    <hyperlink ref="T628" r:id="rId823" display="https://unece.org/sites/default/files/2023-12/FFV-39_Sweet_Chestnuts_2023_e.pdf" xr:uid="{9196A0C1-A639-4F4A-8F0F-ABBC9E02A6CD}"/>
    <hyperlink ref="T629" r:id="rId824" display="https://unece.org/sites/default/files/2024-03/FFV-53_Truffles_2023_e.pdf" xr:uid="{197F86AD-A33D-9446-B8F9-38210D2B4FBF}"/>
    <hyperlink ref="T630" r:id="rId825" display="https://unece.org/sites/default/files/2024-03/FFV-53_Truffles_2023_e.pdf" xr:uid="{A0828786-5CE6-4949-9522-1BAB7E260726}"/>
    <hyperlink ref="T631" r:id="rId826" display="https://unece.org/sites/default/files/2024-03/FFV-53_Truffles_2023_e.pdf" xr:uid="{6A356C9B-D49F-EB4D-A2A9-8862F8315C26}"/>
    <hyperlink ref="T632" r:id="rId827" display="https://unece.org/sites/default/files/2024-03/FFV-53_Truffles_2023_e.pdf" xr:uid="{EEE40FF1-B5D9-7542-A896-69608BC24816}"/>
    <hyperlink ref="T633" r:id="rId828" display="https://unece.org/sites/default/files/2024-03/FFV-53_Truffles_2023_e.pdf" xr:uid="{C8BE81DB-0CE6-F744-AF7E-D475E85E18D3}"/>
    <hyperlink ref="T634" r:id="rId829" display="https://unece.org/sites/default/files/2024-03/FFV-53_Truffles_2023_e.pdf" xr:uid="{78065081-A728-8B4F-B415-6DA6C0AA87ED}"/>
    <hyperlink ref="T635" r:id="rId830" display="https://unece.org/sites/default/files/2024-03/FFV-53_Truffles_2023_e.pdf" xr:uid="{3ECCAD3F-051C-144E-96D3-7953EB1361A4}"/>
    <hyperlink ref="T636" r:id="rId831" display="https://unece.org/sites/default/files/2024-03/FFV-53_Truffles_2023_e.pdf" xr:uid="{26F4B641-DC32-5241-B0FD-A8FE444BC056}"/>
    <hyperlink ref="T637" r:id="rId832" display="https://unece.org/sites/default/files/2024-03/FFV-53_Truffles_2023_e.pdf" xr:uid="{C5B1C135-1834-4743-9533-4508819B5D97}"/>
    <hyperlink ref="T638" r:id="rId833" display="https://unece.org/sites/default/files/2024-03/FFV-49_Pineapples_2023_e.pdf" xr:uid="{FDB09FE4-68BD-6D4E-A713-8C4FD75079B6}"/>
    <hyperlink ref="T639" r:id="rId834" display="https://unece.org/sites/default/files/2024-03/FFV-49_Pineapples_2023_e.pdf" xr:uid="{4C086C72-C326-B446-877D-DF7F0E9D723D}"/>
    <hyperlink ref="T640" r:id="rId835" display="https://unece.org/sites/default/files/2024-03/FFV-49_Pineapples_2023_e.pdf" xr:uid="{0E2FE1DF-8D77-1944-ADFB-E6815525E97E}"/>
    <hyperlink ref="T641" r:id="rId836" display="https://unece.org/sites/default/files/2024-03/FFV-49_Pineapples_2023_e.pdf" xr:uid="{AFBAC211-A132-F549-9D3F-D12F9E360B95}"/>
    <hyperlink ref="T642" r:id="rId837" display="https://unece.org/sites/default/files/2024-03/FFV-49_Pineapples_2023_e.pdf" xr:uid="{405D94C4-D192-F444-BB69-A4292DCBB6E7}"/>
    <hyperlink ref="T643" r:id="rId838" display="https://unece.org/sites/default/files/2024-03/FFV-49_Pineapples_2023_e.pdf" xr:uid="{EC08FB8E-6F91-9548-8B3C-7A73AABA35C8}"/>
    <hyperlink ref="T644" r:id="rId839" display="https://unece.org/sites/default/files/2024-03/FFV-49_Pineapples_2023_e.pdf" xr:uid="{8382C606-FEC6-DF4B-84F8-5F377E796660}"/>
    <hyperlink ref="T645" r:id="rId840" display="https://unece.org/sites/default/files/2024-03/FFV-49_Pineapples_2023_e.pdf" xr:uid="{C8A171D2-5D45-8B46-9989-D7C46C17BE93}"/>
    <hyperlink ref="T646" r:id="rId841" display="https://unece.org/sites/default/files/2024-03/FFV-49_Pineapples_2023_e.pdf" xr:uid="{DB233679-90FA-B54B-8F90-DD0D16EC999C}"/>
    <hyperlink ref="T647" r:id="rId842" display="https://unece.org/sites/default/files/2024-03/FFV-40_Rhubarb_2023_e.pdf" xr:uid="{3EC37395-F4A0-4243-975F-1FAB4CF6FE7E}"/>
    <hyperlink ref="T648" r:id="rId843" display="https://unece.org/sites/default/files/2024-03/FFV-40_Rhubarb_2023_e.pdf" xr:uid="{9D82693C-482B-B849-AFB5-564374E5FE6F}"/>
    <hyperlink ref="T649" r:id="rId844" display="https://unece.org/sites/default/files/2024-03/FFV-40_Rhubarb_2023_e.pdf" xr:uid="{CA6BF82F-60F3-AA43-A686-0BA41898559C}"/>
    <hyperlink ref="T650" r:id="rId845" display="https://unece.org/sites/default/files/2024-03/FFV-40_Rhubarb_2023_e.pdf" xr:uid="{B7B921B5-D027-064F-A6DC-7581DC8E40D7}"/>
    <hyperlink ref="T651" r:id="rId846" display="https://unece.org/sites/default/files/2024-03/FFV-40_Rhubarb_2023_e.pdf" xr:uid="{77FFFF2C-36A7-1A4D-BB30-5E6F4CF01DC2}"/>
    <hyperlink ref="T652" r:id="rId847" display="https://unece.org/sites/default/files/2024-03/FFV-40_Rhubarb_2023_e.pdf" xr:uid="{DC07ED6B-CC07-4246-8298-61F6736F5904}"/>
    <hyperlink ref="T653" r:id="rId848" display="https://unece.org/sites/default/files/2024-03/FFV-40_Rhubarb_2023_e.pdf" xr:uid="{E2C23465-8A3B-5F4E-A669-4C112CEB2A2C}"/>
    <hyperlink ref="T654" r:id="rId849" display="https://unece.org/sites/default/files/2024-03/FFV-40_Rhubarb_2023_e.pdf" xr:uid="{CC0B034B-E999-A442-9D9D-545C5D127B1A}"/>
    <hyperlink ref="T655" r:id="rId850" display="https://unece.org/sites/default/files/2024-03/FFV-23_Melons_2023_e.pdf" xr:uid="{6309B8C3-7968-1D41-A5C9-7CBE9579D0C6}"/>
    <hyperlink ref="T656" r:id="rId851" display="https://unece.org/sites/default/files/2024-03/FFV-23_Melons_2023_e.pdf" xr:uid="{E04F8207-F4F5-274B-B318-3C860B980C76}"/>
    <hyperlink ref="T657" r:id="rId852" display="https://unece.org/sites/default/files/2024-03/FFV-23_Melons_2023_e.pdf" xr:uid="{E2BDC465-10E5-064C-ADAC-D962EDD6E54F}"/>
    <hyperlink ref="T658" r:id="rId853" display="https://unece.org/sites/default/files/2024-03/FFV-23_Melons_2023_e.pdf" xr:uid="{5DFB9A75-ACB2-C24B-9159-F0097DF6F778}"/>
    <hyperlink ref="T659" r:id="rId854" display="https://unece.org/sites/default/files/2024-03/FFV-23_Melons_2023_e.pdf" xr:uid="{FDDADC4D-DA39-A34E-BE99-8C3E389C7B32}"/>
    <hyperlink ref="T660" r:id="rId855" display="https://unece.org/sites/default/files/2024-03/FFV-23_Melons_2023_e.pdf" xr:uid="{56026E4F-C56A-6149-B925-FB35052BD267}"/>
    <hyperlink ref="T661" r:id="rId856" display="https://unece.org/sites/default/files/2024-03/FFV-23_Melons_2023_e.pdf" xr:uid="{AE090582-FE7D-2240-AD06-81863C9CFA99}"/>
    <hyperlink ref="T662" r:id="rId857" display="https://unece.org/sites/default/files/2024-03/FFV-23_Melons_2023_e.pdf" xr:uid="{9FCA698F-9588-084A-9CE9-25C8DF5B5828}"/>
    <hyperlink ref="T663" r:id="rId858" display="https://unece.org/sites/default/files/2024-03/FFV-23_Melons_2023_e.pdf" xr:uid="{25EFA596-002F-F64F-ADEA-12E23843B328}"/>
    <hyperlink ref="T664" r:id="rId859" display="https://unece.org/sites/default/files/2024-03/FFV-60_Lambs_lettuce_2023_e.pdf" xr:uid="{A72BAB6E-39F7-8E4A-9B24-FA453549EE21}"/>
    <hyperlink ref="T665" r:id="rId860" display="https://unece.org/sites/default/files/2024-03/FFV-60_Lambs_lettuce_2023_e.pdf" xr:uid="{3207026F-3FE1-574E-952E-53C304CC224A}"/>
    <hyperlink ref="T666" r:id="rId861" display="https://unece.org/sites/default/files/2024-03/FFV-60_Lambs_lettuce_2023_e.pdf" xr:uid="{3A49ADA7-A0B7-4C40-886F-D56E5C1CE643}"/>
    <hyperlink ref="T667" r:id="rId862" display="https://unece.org/sites/default/files/2024-03/FFV-60_Lambs_lettuce_2023_e.pdf" xr:uid="{4D8C0C06-05EE-D247-B1F9-4A008CFE0600}"/>
    <hyperlink ref="T668" r:id="rId863" display="https://unece.org/sites/default/files/2024-03/FFV-60_Lambs_lettuce_2023_e.pdf" xr:uid="{D8B2C52B-CE3B-274C-B7CD-C79667B6198B}"/>
    <hyperlink ref="T669" r:id="rId864" display="https://unece.org/sites/default/files/2024-03/FFV-60_Lambs_lettuce_2023_e.pdf" xr:uid="{7A5A36F6-B9CE-B54E-9F14-43B9A6A0926C}"/>
    <hyperlink ref="T670" r:id="rId865" xr:uid="{D06BD963-FEE9-DB48-B53B-127D619331B2}"/>
    <hyperlink ref="T671" r:id="rId866" xr:uid="{D2F6FA49-EF7C-AB42-B431-7379D491168E}"/>
    <hyperlink ref="T672" r:id="rId867" xr:uid="{89173095-5FC0-4049-B940-0CAA05080AC5}"/>
    <hyperlink ref="T673" r:id="rId868" xr:uid="{72C5A35F-224F-B04A-9C84-6118148CBDC5}"/>
    <hyperlink ref="T674" r:id="rId869" xr:uid="{94674FBD-2579-8247-8625-C9386E976CB7}"/>
    <hyperlink ref="T675" r:id="rId870" xr:uid="{0811D931-A1AA-554D-92D8-5B8051BC2D9A}"/>
    <hyperlink ref="T676" r:id="rId871" xr:uid="{DB0CE052-025B-3248-AAE2-F9C5EEDC3096}"/>
    <hyperlink ref="T677" r:id="rId872" xr:uid="{A1078A13-500D-8748-84B8-D01635F341A8}"/>
    <hyperlink ref="T678" r:id="rId873" xr:uid="{693090C2-22EC-E34D-9C73-6AE26917952B}"/>
    <hyperlink ref="T679" r:id="rId874" display="https://www.eu-fusions.org/index.php/download?download=161:review-of-eu-legislation-and-policies-with-implications-on-food-waste" xr:uid="{B132DF8D-9299-6044-B342-95B8F7993983}"/>
    <hyperlink ref="T680" r:id="rId875" xr:uid="{BD9D8BCC-061F-3C4D-980B-49D4B9744BAD}"/>
    <hyperlink ref="T681" r:id="rId876" xr:uid="{1D4474BD-1CAD-D842-96E1-75A619EB9F03}"/>
    <hyperlink ref="T682" r:id="rId877" xr:uid="{889B7CC2-000F-974D-8F7A-C27F875796BC}"/>
    <hyperlink ref="T683" r:id="rId878" xr:uid="{518DBCFE-EAAB-664F-A226-0FFB56596399}"/>
    <hyperlink ref="T684" r:id="rId879" xr:uid="{B46FE9E9-C903-034E-8368-EB3CB4FF329D}"/>
    <hyperlink ref="T685" r:id="rId880" xr:uid="{2B1D6A72-A842-AE42-8BF9-1044C08B4C98}"/>
    <hyperlink ref="T686" r:id="rId881" xr:uid="{CD024D0F-D00A-144D-9CAB-1009F843BB23}"/>
    <hyperlink ref="T687" r:id="rId882" xr:uid="{90A2DA2D-8F0F-D042-AF9B-A12F0503E932}"/>
    <hyperlink ref="T688" r:id="rId883" xr:uid="{0F7DC064-20A6-3245-9F50-FE46A53E489E}"/>
    <hyperlink ref="T689" r:id="rId884" xr:uid="{0B7040C8-8F0A-CA41-A136-2A7BF73A7C6D}"/>
    <hyperlink ref="T690" r:id="rId885" xr:uid="{8E10BFAE-091D-7C40-A392-89C9CD1FCFC3}"/>
    <hyperlink ref="T691" r:id="rId886" xr:uid="{EF274BAF-D239-6747-81A2-E96B454275CA}"/>
    <hyperlink ref="T692" r:id="rId887" xr:uid="{CB5C58D0-4425-9F42-AD7E-A984E49A442A}"/>
    <hyperlink ref="T693" r:id="rId888" xr:uid="{FECE6FAD-CCB3-0F42-A039-2785C155925B}"/>
    <hyperlink ref="T694" r:id="rId889" xr:uid="{AEF834A4-5361-1843-A481-CF1605FBA7B2}"/>
    <hyperlink ref="T695" r:id="rId890" xr:uid="{ADFC63B6-3A0A-3C4A-8854-BB21C5DED7DE}"/>
    <hyperlink ref="T696" r:id="rId891" xr:uid="{E2C363F9-361F-6846-8FDB-FEE1B7C8065A}"/>
    <hyperlink ref="T697" r:id="rId892" xr:uid="{CA291145-751D-4E4D-9F7E-1CEEDF9AC030}"/>
    <hyperlink ref="T698" r:id="rId893" xr:uid="{E13302B4-8071-5641-A1CB-C72F76C68058}"/>
    <hyperlink ref="T699" r:id="rId894" xr:uid="{993C6E41-0460-7D4C-8547-652658DB6114}"/>
    <hyperlink ref="T700" r:id="rId895" xr:uid="{DC5652C7-B5E4-5348-A163-6499B75A2354}"/>
    <hyperlink ref="T701" r:id="rId896" xr:uid="{0278456C-CF52-0B40-B5BC-9B10381A16DC}"/>
    <hyperlink ref="T702" r:id="rId897" xr:uid="{EF9B5537-A4F9-8A4B-89E7-2CD7511031BD}"/>
    <hyperlink ref="T703" r:id="rId898" xr:uid="{CB3D0CF9-D709-A448-AF3A-BEDC1F22F000}"/>
    <hyperlink ref="T704" r:id="rId899" xr:uid="{825B1947-AE2C-1D4B-B904-6687786A62D6}"/>
    <hyperlink ref="T705" r:id="rId900" xr:uid="{809161FD-8247-144E-AE74-7104236CCFCE}"/>
    <hyperlink ref="T706" r:id="rId901" xr:uid="{22419BB0-5FFF-C744-8188-30EE036D3D7E}"/>
    <hyperlink ref="T707" r:id="rId902" xr:uid="{DCD9A3F6-3F64-9446-BE16-EC8710A460BA}"/>
    <hyperlink ref="T708" r:id="rId903" xr:uid="{B4EE674B-1A07-9642-A572-0546432A4CCF}"/>
    <hyperlink ref="T709" r:id="rId904" xr:uid="{B31931A9-7688-D54A-830A-C2A5EF96FABE}"/>
    <hyperlink ref="T710" r:id="rId905" xr:uid="{7FE33AB4-109B-6949-BBC8-6F9CEC0D857A}"/>
    <hyperlink ref="T711" r:id="rId906" xr:uid="{ABA350DD-9897-0C45-BD4D-7B1867A8D1E1}"/>
    <hyperlink ref="T712" r:id="rId907" xr:uid="{985937A4-E52B-6E42-9725-4047390D68D5}"/>
    <hyperlink ref="T713" r:id="rId908" xr:uid="{90405565-9024-D749-82B3-A090DCE3EBFD}"/>
    <hyperlink ref="T714" r:id="rId909" xr:uid="{26DF8B99-2C1E-CE42-8122-D19815E5C345}"/>
    <hyperlink ref="T715" r:id="rId910" xr:uid="{F9B171BF-9768-FC46-A516-EADDB91A5B13}"/>
    <hyperlink ref="T716" r:id="rId911" xr:uid="{4CAF5124-DF25-244C-A594-BCF269A310C3}"/>
    <hyperlink ref="T717" r:id="rId912" xr:uid="{1C281AAC-E09E-6C47-94F2-80F341649CDD}"/>
    <hyperlink ref="T718" r:id="rId913" xr:uid="{41E62E97-FDC2-0F45-B244-775E48F3A331}"/>
    <hyperlink ref="T719" r:id="rId914" xr:uid="{2FD57C99-F365-AD48-89CD-BA90830F9709}"/>
    <hyperlink ref="T720" r:id="rId915" xr:uid="{C72C3FA6-CCB1-1443-9836-8C2CC6DFCDFB}"/>
    <hyperlink ref="T721" r:id="rId916" xr:uid="{7EFF9162-7E4F-8B4C-9CC8-0264FB5983C2}"/>
    <hyperlink ref="T722" r:id="rId917" xr:uid="{4BF1A96A-655F-3449-8F12-913D1B7CA43D}"/>
    <hyperlink ref="T723" r:id="rId918" xr:uid="{4082381C-DE4F-F24A-B41C-437C3222749A}"/>
    <hyperlink ref="T724" r:id="rId919" xr:uid="{BE5F7DFB-E8BD-5B4E-8EAA-220AF7A01481}"/>
    <hyperlink ref="T725" r:id="rId920" xr:uid="{750051C7-BBD2-3B42-BB12-DB04AD5652F2}"/>
    <hyperlink ref="T726" r:id="rId921" xr:uid="{EE0D8033-7EBE-9F4E-B0A9-9B679BF66FCA}"/>
    <hyperlink ref="T727" r:id="rId922" xr:uid="{61F1BA61-A79E-954D-A8B0-5D6E210D3073}"/>
    <hyperlink ref="T728" r:id="rId923" xr:uid="{76D27B62-7004-6E4C-9272-7C6D6FBA04C0}"/>
    <hyperlink ref="T729" r:id="rId924" xr:uid="{ACE39C28-336D-7143-9F3B-1F8B62D64076}"/>
    <hyperlink ref="T730" r:id="rId925" xr:uid="{12395604-083C-B648-9A05-3EF7F7EF352D}"/>
    <hyperlink ref="T731" r:id="rId926" xr:uid="{2FFA4A3D-EEB7-AC4D-93E0-BD47BFAFF78C}"/>
    <hyperlink ref="T732" r:id="rId927" xr:uid="{1932DCF5-93C1-0C44-8566-100081460D7A}"/>
    <hyperlink ref="T733" r:id="rId928" xr:uid="{A06B2AC9-76BF-0A4C-9297-1E8B2B12DAA6}"/>
    <hyperlink ref="T734" r:id="rId929" xr:uid="{ECC201FA-A939-0649-B6EF-78FE04B4D20C}"/>
    <hyperlink ref="T735" r:id="rId930" xr:uid="{373718C9-44DA-8E4A-BF00-AA7AFB68D855}"/>
    <hyperlink ref="T736" r:id="rId931" xr:uid="{09A15979-4F87-A344-9464-7CA927C6940E}"/>
    <hyperlink ref="T737" r:id="rId932" xr:uid="{C989E598-71E7-A54A-8EE6-EEEF40E6D675}"/>
    <hyperlink ref="T738" r:id="rId933" xr:uid="{352D9074-18F5-B74A-9D1B-5FBB90C85A46}"/>
    <hyperlink ref="T739" r:id="rId934" xr:uid="{AA103C4D-39CC-1E46-9ED9-05DBFDB22D2B}"/>
    <hyperlink ref="T740" r:id="rId935" xr:uid="{F55077A8-69AA-9C45-BB08-2B3BB233BEBA}"/>
    <hyperlink ref="T741" r:id="rId936" xr:uid="{8754603A-FE6C-3B4F-9702-587BEAE41CE4}"/>
    <hyperlink ref="T742" r:id="rId937" xr:uid="{1E2A6EBC-BDC9-C945-8D2F-2958DF6EF411}"/>
    <hyperlink ref="T743" r:id="rId938" xr:uid="{4518A3B1-0BA6-FD4C-A62C-3E00D3AC4C89}"/>
    <hyperlink ref="T744" r:id="rId939" xr:uid="{F95796C8-1373-5949-BAF3-34C0129D2CD7}"/>
    <hyperlink ref="T745" r:id="rId940" xr:uid="{DDFB30DA-1860-2943-ABB8-4F8652C41D47}"/>
    <hyperlink ref="T746" r:id="rId941" xr:uid="{1FE940AF-5CA8-9245-B05F-F295CD0CC9BB}"/>
    <hyperlink ref="T747" r:id="rId942" xr:uid="{2594E344-5295-6D4F-B35A-7103CDDE7114}"/>
    <hyperlink ref="T748" r:id="rId943" xr:uid="{85042D4D-A37E-7C45-9546-A020FF3A4E61}"/>
    <hyperlink ref="T749" r:id="rId944" xr:uid="{0C244E8C-2DD2-644A-83F1-570E8AF7679D}"/>
    <hyperlink ref="T750" r:id="rId945" xr:uid="{8A36B252-F6C7-F74B-B76D-79EE65DEC33C}"/>
    <hyperlink ref="T751" r:id="rId946" xr:uid="{69EE5AB5-243D-0449-B42E-6FDC10F874C2}"/>
    <hyperlink ref="T752" r:id="rId947" xr:uid="{3774EC03-F655-C243-9827-013979C7F49E}"/>
    <hyperlink ref="T753" r:id="rId948" xr:uid="{7BF579E6-65C8-1E4C-8633-EF70CF10C5E6}"/>
    <hyperlink ref="T754" r:id="rId949" xr:uid="{0CD81463-81C2-6042-AAF6-73CFB640BF7D}"/>
    <hyperlink ref="T755" r:id="rId950" display="https://www.greatitalianfoodtrade.it/en/markets/eggs-_x000a_minimal-variations-to-EU-marketing-standards/" xr:uid="{2EAFDFC9-7F51-7F49-BC1B-2A0A1DDC377D}"/>
    <hyperlink ref="T756" r:id="rId951" display="https://www.greatitalianfoodtrade.it/en/markets/eggs-_x000a_minimal-variations-to-EU-marketing-standards/" xr:uid="{B85269C2-AAD5-0946-AF5A-47B6C2EB606F}"/>
    <hyperlink ref="T757" r:id="rId952" display="https://www.greatitalianfoodtrade.it/en/markets/eggs-_x000a_minimal-variations-to-EU-marketing-standards/" xr:uid="{56102A1F-4EC7-FD43-9EA9-5D3C5E44C576}"/>
    <hyperlink ref="T759" r:id="rId953" xr:uid="{41A24AC3-697D-764E-8D17-ECBA0F016626}"/>
    <hyperlink ref="T760" r:id="rId954" xr:uid="{1AEB59EE-6E10-8F47-8F54-8ED88F514853}"/>
    <hyperlink ref="T761" r:id="rId955" xr:uid="{96130D8A-CAD5-854A-A01F-4338785E9F2C}"/>
    <hyperlink ref="T763" r:id="rId956" xr:uid="{0006CE3C-88C4-1E45-9508-98829A38EAC2}"/>
    <hyperlink ref="T764" r:id="rId957" xr:uid="{93FB6C2E-1957-254F-8529-1BFCDC5B3894}"/>
    <hyperlink ref="T765" r:id="rId958" xr:uid="{FA7437D4-053D-D14E-95F7-AB9920C4C2DF}"/>
    <hyperlink ref="T766" r:id="rId959" xr:uid="{593DFB2D-A1A7-BA4E-9910-5DECBC04B411}"/>
    <hyperlink ref="T767" r:id="rId960" xr:uid="{6A3E4ACE-EF28-9648-ACEB-6505BD43016D}"/>
    <hyperlink ref="T768" r:id="rId961" xr:uid="{CC229E64-7CE2-4549-A01A-7033395A0861}"/>
    <hyperlink ref="T769" r:id="rId962" xr:uid="{F71CF107-3797-2E4F-8533-0429B61C5625}"/>
    <hyperlink ref="T770" r:id="rId963" xr:uid="{4C44C76D-F0E8-E54F-92EF-6683B4E17C3F}"/>
    <hyperlink ref="T771" r:id="rId964" xr:uid="{6FF48836-8254-564C-9C51-57F6CA77F462}"/>
    <hyperlink ref="T772" r:id="rId965" xr:uid="{AA021882-48A1-0B4A-B554-530F00F1B9D1}"/>
    <hyperlink ref="T773" r:id="rId966" xr:uid="{227604D8-C8EF-254A-8817-4D48DD793CA9}"/>
    <hyperlink ref="T774" r:id="rId967" xr:uid="{EB9BEBE2-53A1-A44A-938A-F5C2764BA7BC}"/>
    <hyperlink ref="T775" r:id="rId968" xr:uid="{A87FA62A-5361-274D-9A3C-807E7F9C0018}"/>
    <hyperlink ref="T776" r:id="rId969" display="https://diariodarepublica.pt/dr/analise-juridica/portaria/1421-2006-552299" xr:uid="{225E8F2C-3D08-0345-8323-5098BF2664F7}"/>
  </hyperlinks>
  <pageMargins left="0.7" right="0.7" top="0.75" bottom="0.75" header="0.3" footer="0.3"/>
  <drawing r:id="rId9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7F31-2E52-44C3-8985-F5466024A042}">
  <dimension ref="A2:R37"/>
  <sheetViews>
    <sheetView workbookViewId="0">
      <selection activeCell="S2" sqref="S2"/>
    </sheetView>
  </sheetViews>
  <sheetFormatPr defaultColWidth="8.875" defaultRowHeight="15.95"/>
  <cols>
    <col min="2" max="2" width="14.875" customWidth="1"/>
    <col min="3" max="3" width="10.375" customWidth="1"/>
    <col min="4" max="11" width="8.875" customWidth="1"/>
    <col min="12" max="15" width="12" customWidth="1"/>
    <col min="16" max="16" width="12" hidden="1" customWidth="1"/>
  </cols>
  <sheetData>
    <row r="2" spans="1:18" ht="26.1">
      <c r="B2" s="225"/>
      <c r="C2" s="312" t="s">
        <v>3904</v>
      </c>
      <c r="D2" s="313"/>
      <c r="E2" s="313"/>
      <c r="F2" s="313"/>
      <c r="G2" s="313"/>
      <c r="H2" s="313"/>
      <c r="I2" s="313"/>
      <c r="J2" s="314"/>
      <c r="K2" s="211"/>
      <c r="L2" s="306" t="s">
        <v>3905</v>
      </c>
      <c r="M2" s="306"/>
      <c r="N2" s="306"/>
      <c r="O2" s="306"/>
      <c r="P2" s="306"/>
      <c r="Q2" s="211"/>
      <c r="R2" s="306" t="s">
        <v>3906</v>
      </c>
    </row>
    <row r="3" spans="1:18">
      <c r="B3" s="230" t="s">
        <v>3907</v>
      </c>
      <c r="C3" s="307" t="s">
        <v>3908</v>
      </c>
      <c r="D3" s="308" t="s">
        <v>3909</v>
      </c>
      <c r="E3" s="309"/>
      <c r="F3" s="309"/>
      <c r="G3" s="310"/>
      <c r="H3" s="307" t="s">
        <v>2303</v>
      </c>
      <c r="I3" s="307" t="s">
        <v>71</v>
      </c>
      <c r="J3" s="307" t="s">
        <v>123</v>
      </c>
      <c r="K3" s="214"/>
      <c r="L3" s="317" t="s">
        <v>3910</v>
      </c>
      <c r="M3" s="317" t="s">
        <v>3911</v>
      </c>
      <c r="N3" s="317" t="s">
        <v>3912</v>
      </c>
      <c r="O3" s="317" t="s">
        <v>3913</v>
      </c>
      <c r="P3" s="317" t="s">
        <v>3914</v>
      </c>
      <c r="Q3" s="214"/>
      <c r="R3" s="306"/>
    </row>
    <row r="4" spans="1:18" ht="33.950000000000003">
      <c r="B4" s="229"/>
      <c r="C4" s="307"/>
      <c r="D4" s="212" t="s">
        <v>363</v>
      </c>
      <c r="E4" s="212" t="s">
        <v>370</v>
      </c>
      <c r="F4" s="221" t="s">
        <v>394</v>
      </c>
      <c r="G4" s="223" t="s">
        <v>3915</v>
      </c>
      <c r="H4" s="307"/>
      <c r="I4" s="307"/>
      <c r="J4" s="307"/>
      <c r="K4" s="214"/>
      <c r="L4" s="318"/>
      <c r="M4" s="318"/>
      <c r="N4" s="318"/>
      <c r="O4" s="318"/>
      <c r="P4" s="318"/>
      <c r="Q4" s="214"/>
      <c r="R4" s="306"/>
    </row>
    <row r="5" spans="1:18">
      <c r="A5" s="273"/>
      <c r="B5" s="215" t="s">
        <v>3916</v>
      </c>
      <c r="C5" s="216" t="e" cm="1">
        <f t="array" ref="C5">SUMPRODUCT(
    --('Inventory - Public Private FMS'!#REF! &lt;&gt; 1),
    --(
        (ISNUMBER(SEARCH("Fruits", 'Inventory - Public Private FMS'!$F$165:$F$1792)))
        + (ISNUMBER(SEARCH("Vegetables", 'Inventory - Public Private FMS'!$F$165:$F$1792)))
        + (ISNUMBER(SEARCH("All food commodities", 'Inventory - Public Private FMS'!$F$165:$F$1792))) &gt; 0
    )
)</f>
        <v>#REF!</v>
      </c>
      <c r="D5" s="216" t="e" cm="1">
        <f t="array" ref="D5">SUMPRODUCT(
    --('Inventory - Public Private FMS'!#REF! &lt;&gt; 1),
    --(
        (ISNUMBER(SEARCH("Meat", 'Inventory - Public Private FMS'!$F$165:$F$1792)))
        + (ISNUMBER(SEARCH("All food commodities", 'Inventory - Public Private FMS'!$F$165:$F$1792)))
        + (ISNUMBER(SEARCH("livestock", 'Inventory - Public Private FMS'!$F$165:$F$1792)))
        + (ISNUMBER(SEARCH("Bovine", 'Inventory - Public Private FMS'!$F$165:$F$1792))) &gt; 0
    )
)</f>
        <v>#REF!</v>
      </c>
      <c r="E5" s="216" t="e" cm="1">
        <f t="array" ref="E5">SUMPRODUCT(
    --('Inventory - Public Private FMS'!#REF! &lt;&gt; 1),
    --(
        (ISNUMBER(SEARCH("Meat", 'Inventory - Public Private FMS'!$F$165:$F$1792)))
        + (ISNUMBER(SEARCH("All food commodities", 'Inventory - Public Private FMS'!$F$165:$F$1792)))
        + (ISNUMBER(SEARCH("livestock", 'Inventory - Public Private FMS'!$F$165:$F$1792)))
        + (ISNUMBER(SEARCH("Pork", 'Inventory - Public Private FMS'!$F$165:$F$1792))) &gt; 0
    )
)</f>
        <v>#REF!</v>
      </c>
      <c r="F5" s="216" t="e" cm="1">
        <f t="array" ref="F5">SUMPRODUCT(
    --('Inventory - Public Private FMS'!#REF! &lt;&gt; 1),
    --(
        (ISNUMBER(SEARCH("Meat", 'Inventory - Public Private FMS'!$F$165:$F$1792)))
        + (ISNUMBER(SEARCH("All food commodities", 'Inventory - Public Private FMS'!$F$165:$F$1792)))
        + (ISNUMBER(SEARCH("livestock", 'Inventory - Public Private FMS'!$F$165:$F$1792)))
        + (ISNUMBER(SEARCH("Poultry", 'Inventory - Public Private FMS'!$F$165:$F$1792))) &gt; 0
    )
)</f>
        <v>#REF!</v>
      </c>
      <c r="G5" s="216" t="e" cm="1">
        <f t="array" ref="G5">SUMPRODUCT(
    --('Inventory - Public Private FMS'!#REF!&lt;&gt;1),
    --(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
    )
)</f>
        <v>#REF!</v>
      </c>
      <c r="H5" s="216" t="e" cm="1">
        <f t="array" ref="H5">SUMPRODUCT(
    --('Inventory - Public Private FMS'!#REF! &lt;&gt; 1),
    --(
        (ISNUMBER(SEARCH("Eggs", 'Inventory - Public Private FMS'!$F$165:$F$1792))
        + ISNUMBER(SEARCH("All food commodities", 'Inventory - Public Private FMS'!$F$165:$F$1792)))&gt; 0
    )
)</f>
        <v>#REF!</v>
      </c>
      <c r="I5" s="216" t="e" cm="1">
        <f t="array" ref="I5">SUMPRODUCT(
    --('Inventory - Public Private FMS'!#REF! &lt;&gt; 1),
--((ISNUMBER(SEARCH("Fish", 'Inventory - Public Private FMS'!$F$165:$F$1792)))
+ (ISNUMBER(SEARCH("All food commodities", 'Inventory - Public Private FMS'!$F$165:$F$1792)))
+ (ISNUMBER(SEARCH("Aquaculture", 'Inventory - Public Private FMS'!$F$165:$F$1792))) &gt; 0))</f>
        <v>#REF!</v>
      </c>
      <c r="J5" s="216" t="e" cm="1">
        <f t="array" ref="J5">SUMPRODUCT(
    --('Inventory - Public Private FMS'!#REF! &lt;&gt; 1),
--((ISNUMBER(SEARCH("Cereals", 'Inventory - Public Private FMS'!$F$165:$F$1792)))
+ (ISNUMBER(SEARCH("All food commodities", 'Inventory - Public Private FMS'!$F$165:$F$1792))) &gt; 0))</f>
        <v>#REF!</v>
      </c>
      <c r="K5" s="214"/>
      <c r="L5" s="216" t="e" cm="1">
        <f t="array" ref="L5">SUMPRODUCT(
    --('Inventory - Public Private FMS'!#REF! &lt;&gt; 1),
--((ISNUMBER(SEARCH("Primary Production", 'Inventory - Public Private FMS'!$N$165:$N$1792)))
+ (ISNUMBER(SEARCH("All stages", 'Inventory - Public Private FMS'!$N$165:$N$1792))) &gt; 0))</f>
        <v>#REF!</v>
      </c>
      <c r="M5" s="216" t="e" cm="1">
        <f t="array" ref="M5">SUMPRODUCT(
    --('Inventory - Public Private FMS'!#REF! &lt;&gt; 1),
--((ISNUMBER(SEARCH("Processing &amp; Manufacturing", 'Inventory - Public Private FMS'!$N$165:$N$1792)))
+ (ISNUMBER(SEARCH("All stages", 'Inventory - Public Private FMS'!$N$165:$N$1792))) &gt; 0))</f>
        <v>#REF!</v>
      </c>
      <c r="N5" s="216" t="e" cm="1">
        <f t="array" ref="N5">SUMPRODUCT(
    --('Inventory - Public Private FMS'!#REF! &lt;&gt; 1),
--((ISNUMBER(SEARCH("Retail", 'Inventory - Public Private FMS'!$N$165:$N$1792)))
+ (ISNUMBER(SEARCH("All stages", 'Inventory - Public Private FMS'!$N$165:$N$1792))) &gt; 0))</f>
        <v>#REF!</v>
      </c>
      <c r="O5" s="216" t="e" cm="1">
        <f t="array" ref="O5">SUMPRODUCT(
    --('Inventory - Public Private FMS'!#REF! &lt;&gt; 1),
--((ISNUMBER(SEARCH("Food services", 'Inventory - Public Private FMS'!$N$165:$N$1792)))
+ (ISNUMBER(SEARCH("All stages", 'Inventory - Public Private FMS'!$N$165:$N$1792))) &gt; 0))</f>
        <v>#REF!</v>
      </c>
      <c r="P5" s="216" t="e" cm="1">
        <f t="array" ref="P5">SUMPRODUCT(
    --('Inventory - Public Private FMS'!#REF! &lt;&gt; 1),
--((ISNUMBER(SEARCH("Household", 'Inventory - Public Private FMS'!$N$165:$N$1792)))
+ (ISNUMBER(SEARCH("All stages", 'Inventory - Public Private FMS'!$N$165:$N$1792))) &gt; 0))</f>
        <v>#REF!</v>
      </c>
      <c r="Q5" s="214"/>
      <c r="R5" s="216" t="e" cm="1">
        <f t="array" ref="R5">SUMPRODUCT(--('Inventory - Public Private FMS'!#REF! &lt;&gt; 1))</f>
        <v>#REF!</v>
      </c>
    </row>
    <row r="6" spans="1:18">
      <c r="B6" s="126" t="s">
        <v>3917</v>
      </c>
      <c r="C6" s="218" t="e" cm="1">
        <f t="array" ref="C6">SUMPRODUCT(
--('Inventory - Public Private FMS'!#REF!&lt;&gt;1),
--((
ISNUMBER(SEARCH("EU",'Inventory - Public Private FMS'!$J$165:$J$1792))
+ISNUMBER(SEARCH("International",'Inventory - Public Private FMS'!$J$165:$J$1792)))&gt;0
),
--((
ISNUMBER(SEARCH("Fruits",'Inventory - Public Private FMS'!$F$165:$F$1792))
+ISNUMBER(SEARCH("Vegetables",'Inventory - Public Private FMS'!$F$165:$F$1792))
+ISNUMBER(SEARCH("All food commodities",'Inventory - Public Private FMS'!$F$165:$F$1792))&gt;0
)
))</f>
        <v>#REF!</v>
      </c>
      <c r="D6" s="218" t="e" cm="1">
        <f t="array" ref="D6">SUMPRODUCT(
--('Inventory - Public Private FMS'!#REF!&lt;&gt;1),
--((ISNUMBER(SEARCH("EU",'Inventory - Public Private FMS'!$J$165:$J$1792)))
+(ISNUMBER(SEARCH("International",'Inventory - Public Private FMS'!$J$165:$J$1792)))&gt;0),
--((ISNUMBER(SEARCH("Meat",'Inventory - Public Private FMS'!$F$165:$F$1792)))
+(ISNUMBER(SEARCH("All food commodities",'Inventory - Public Private FMS'!$F$165:$F$1792)))
+(ISNUMBER(SEARCH("livestock",'Inventory - Public Private FMS'!$F$165:$F$1792)))
+(ISNUMBER(SEARCH("Bovine",'Inventory - Public Private FMS'!$F$165:$F$1792)))&gt;0)
)</f>
        <v>#REF!</v>
      </c>
      <c r="E6" s="218" t="e" cm="1">
        <f t="array" ref="E6">SUMPRODUCT(
--('Inventory - Public Private FMS'!#REF!&lt;&gt;1),
--((ISNUMBER(SEARCH("EU",'Inventory - Public Private FMS'!$J$165:$J$1792)))
+(ISNUMBER(SEARCH("International",'Inventory - Public Private FMS'!$J$165:$J$1792)))&gt;0),
--((ISNUMBER(SEARCH("Meat",'Inventory - Public Private FMS'!$F$165:$F$1792)))
+(ISNUMBER(SEARCH("All food commodities",'Inventory - Public Private FMS'!$F$165:$F$1792)))
+(ISNUMBER(SEARCH("livestock",'Inventory - Public Private FMS'!$F$165:$F$1792)))
+(ISNUMBER(SEARCH("Pork",'Inventory - Public Private FMS'!$F$165:$F$1792)))&gt;0))</f>
        <v>#REF!</v>
      </c>
      <c r="F6" s="218" t="e" cm="1">
        <f t="array" ref="F6">SUMPRODUCT(
--('Inventory - Public Private FMS'!#REF!&lt;&gt;1),
--((ISNUMBER(SEARCH("EU",'Inventory - Public Private FMS'!$J$165:$J$1792)))
+(ISNUMBER(SEARCH("International",'Inventory - Public Private FMS'!$J$165:$J$1792)))&gt;0),
--((ISNUMBER(SEARCH("Meat",'Inventory - Public Private FMS'!$F$165:$F$1792)))
+(ISNUMBER(SEARCH("All food commodities",'Inventory - Public Private FMS'!$F$165:$F$1792)))
+(ISNUMBER(SEARCH("livestock",'Inventory - Public Private FMS'!$F$165:$F$1792)))
+(ISNUMBER(SEARCH("Poultry",'Inventory - Public Private FMS'!$F$165:$F$1792)))&gt;0))</f>
        <v>#REF!</v>
      </c>
      <c r="G6" s="218" t="e" cm="1">
        <f t="array" ref="G6">SUMPRODUCT(
--('Inventory - Public Private FMS'!#REF!&lt;&gt;1),
--((ISNUMBER(SEARCH("EU",'Inventory - Public Private FMS'!$J$165:$J$1792)))
+(ISNUMBER(SEARCH("International",'Inventory - Public Private FMS'!$J$165:$J$1792)))&gt;0),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6" s="218" t="e" cm="1">
        <f t="array" ref="H6">SUMPRODUCT(
--('Inventory - Public Private FMS'!#REF!&lt;&gt;1),
--((ISNUMBER(SEARCH("EU",'Inventory - Public Private FMS'!$J$165:$J$1792)))
+(ISNUMBER(SEARCH("International",'Inventory - Public Private FMS'!$J$165:$J$1792)))&gt;0),
--((ISNUMBER(SEARCH("Eggs",'Inventory - Public Private FMS'!$F$165:$F$1792)))
+(ISNUMBER(SEARCH("All food commodities",'Inventory - Public Private FMS'!$F$165:$F$1792)))&gt;0))</f>
        <v>#REF!</v>
      </c>
      <c r="I6" s="218" t="e" cm="1">
        <f t="array" ref="I6">SUMPRODUCT(
--('Inventory - Public Private FMS'!#REF!&lt;&gt;1),
--((ISNUMBER(SEARCH("EU",'Inventory - Public Private FMS'!$J$165:$J$1792)))
+(ISNUMBER(SEARCH("International",'Inventory - Public Private FMS'!$J$165:$J$1792)))&gt;0),
--((ISNUMBER(SEARCH("Fish",'Inventory - Public Private FMS'!$F$165:$F$1792)))
+(ISNUMBER(SEARCH("All food commodities",'Inventory - Public Private FMS'!$F$165:$F$1792)))
+(ISNUMBER(SEARCH("Aquaculture",'Inventory - Public Private FMS'!$F$165:$F$1792)))&gt;0))</f>
        <v>#REF!</v>
      </c>
      <c r="J6" s="218" t="e" cm="1">
        <f t="array" ref="J6">SUMPRODUCT(
--('Inventory - Public Private FMS'!#REF!&lt;&gt;1),
--((ISNUMBER(SEARCH("EU",'Inventory - Public Private FMS'!$J$165:$J$1792)))
+(ISNUMBER(SEARCH("International",'Inventory - Public Private FMS'!$J$165:$J$1792)))&gt;0),
--((ISNUMBER(SEARCH("Cereals",'Inventory - Public Private FMS'!$F$165:$F$1792)))
+(ISNUMBER(SEARCH("All food commodities",'Inventory - Public Private FMS'!$F$165:$F$1792)))&gt;0))</f>
        <v>#REF!</v>
      </c>
      <c r="K6" s="214"/>
      <c r="L6" s="218" t="e" cm="1">
        <f t="array" ref="L6">SUMPRODUCT(
--('Inventory - Public Private FMS'!#REF!&lt;&gt;1),
--((ISNUMBER(SEARCH("EU",'Inventory - Public Private FMS'!$J$165:$J$1792)))
+(ISNUMBER(SEARCH("International",'Inventory - Public Private FMS'!$J$165:$J$1792)))&gt;0),
--((ISNUMBER(SEARCH("Primary Production",'Inventory - Public Private FMS'!$N$165:$N$1792)))
+(ISNUMBER(SEARCH("All stages",'Inventory - Public Private FMS'!$N$165:$N$1792)))&gt;0))</f>
        <v>#REF!</v>
      </c>
      <c r="M6" s="218" t="e" cm="1">
        <f t="array" ref="M6">SUMPRODUCT(
--('Inventory - Public Private FMS'!#REF!&lt;&gt;1),
--((ISNUMBER(SEARCH("EU",'Inventory - Public Private FMS'!$J$165:$J$1792)))
+(ISNUMBER(SEARCH("International",'Inventory - Public Private FMS'!$J$165:$J$1792)))&gt;0),
--((ISNUMBER(SEARCH("Processing &amp; Manufacturing",'Inventory - Public Private FMS'!$N$165:$N$1792)))
+(ISNUMBER(SEARCH("All stages",'Inventory - Public Private FMS'!$N$165:$N$1792)))&gt;0))</f>
        <v>#REF!</v>
      </c>
      <c r="N6" s="218" t="e" cm="1">
        <f t="array" ref="N6">SUMPRODUCT(
--('Inventory - Public Private FMS'!#REF!&lt;&gt;1),
--((ISNUMBER(SEARCH("EU",'Inventory - Public Private FMS'!$J$165:$J$1792)))
+(ISNUMBER(SEARCH("International",'Inventory - Public Private FMS'!$J$165:$J$1792)))&gt;0),
--((ISNUMBER(SEARCH("Retail",'Inventory - Public Private FMS'!$N$165:$N$1792)))
+(ISNUMBER(SEARCH("All stages",'Inventory - Public Private FMS'!$N$165:$N$1792)))&gt;0))</f>
        <v>#REF!</v>
      </c>
      <c r="O6" s="218" t="e" cm="1">
        <f t="array" ref="O6">SUMPRODUCT(
--('Inventory - Public Private FMS'!#REF!&lt;&gt;1),
--((ISNUMBER(SEARCH("EU",'Inventory - Public Private FMS'!$J$165:$J$1792)))
+(ISNUMBER(SEARCH("International",'Inventory - Public Private FMS'!$J$165:$J$1792)))&gt;0),
--((ISNUMBER(SEARCH("Food services",'Inventory - Public Private FMS'!$N$165:$N$1792)))
+(ISNUMBER(SEARCH("All stages",'Inventory - Public Private FMS'!$N$165:$N$1792)))&gt;0))</f>
        <v>#REF!</v>
      </c>
      <c r="P6" s="218" t="e" cm="1">
        <f t="array" ref="P6">SUMPRODUCT(
--('Inventory - Public Private FMS'!#REF!&lt;&gt;1),
--((ISNUMBER(SEARCH("EU",'Inventory - Public Private FMS'!$J$165:$J$1792)))
+(ISNUMBER(SEARCH("International",'Inventory - Public Private FMS'!$J$165:$J$1792)))&gt;0),
--((ISNUMBER(SEARCH("Consumption",'Inventory - Public Private FMS'!$N$165:$N$1792)))
+(ISNUMBER(SEARCH("All stages",'Inventory - Public Private FMS'!$N$165:$N$1792)))&gt;0))</f>
        <v>#REF!</v>
      </c>
      <c r="Q6" s="217"/>
      <c r="R6" s="218" t="e" cm="1">
        <f t="array" ref="R6">SUMPRODUCT(
    --('Inventory - Public Private FMS'!#REF! &lt;&gt; 1),
    --(
        (ISNUMBER(SEARCH("EU", 'Inventory - Public Private FMS'!$J$165:$J$1792)))
        + (ISNUMBER(SEARCH("International", 'Inventory - Public Private FMS'!$J$165:$J$1792))) &gt; 0
    )
)</f>
        <v>#REF!</v>
      </c>
    </row>
    <row r="7" spans="1:18">
      <c r="B7" s="126" t="s">
        <v>3918</v>
      </c>
      <c r="C7" s="227" t="e" cm="1">
        <f t="array" ref="C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
        (ISNUMBER(SEARCH("Fruits", 'Inventory - Public Private FMS'!$F$165:$F$1792))) +
        (ISNUMBER(SEARCH("Vegetables", 'Inventory - Public Private FMS'!$F$165:$F$1792))) +
        (ISNUMBER(SEARCH("All food commodities", 'Inventory - Public Private FMS'!$F$165:$F$1792)))&gt;0
    )
)</f>
        <v>#REF!</v>
      </c>
      <c r="D7" s="218" t="e" cm="1">
        <f t="array" ref="D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
(ISNUMBER(SEARCH("Meat",'Inventory - Public Private FMS'!$F$165:$F$1792)))+
(ISNUMBER(SEARCH("All food commodities",'Inventory - Public Private FMS'!$F$165:$F$1792)))+
(ISNUMBER(SEARCH("livestock",'Inventory - Public Private FMS'!$F$165:$F$1792)))+
(ISNUMBER(SEARCH("Bovine",'Inventory - Public Private FMS'!$F$165:$F$1792)))&gt;0
)
)</f>
        <v>#REF!</v>
      </c>
      <c r="E7" s="218" t="e" cm="1">
        <f t="array" ref="E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
        (ISNUMBER(SEARCH("Meat",'Inventory - Public Private FMS'!$F$165:$F$1792)))
        +(ISNUMBER(SEARCH("All food commodities",'Inventory - Public Private FMS'!$F$165:$F$1792)))
        +(ISNUMBER(SEARCH("livestock",'Inventory - Public Private FMS'!$F$165:$F$1792)))
        +(ISNUMBER(SEARCH("Pork",'Inventory - Public Private FMS'!$F$165:$F$1792)))&gt;0
)
)</f>
        <v>#REF!</v>
      </c>
      <c r="F7" s="218" t="e" cm="1">
        <f t="array" ref="F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
        (ISNUMBER(SEARCH("Meat",'Inventory - Public Private FMS'!$F$165:$F$1792)))
        +(ISNUMBER(SEARCH("All food commodities",'Inventory - Public Private FMS'!$F$165:$F$1792)))
        +(ISNUMBER(SEARCH("livestock",'Inventory - Public Private FMS'!$F$165:$F$1792)))
        +(ISNUMBER(SEARCH("Poultry",'Inventory - Public Private FMS'!$F$165:$F$1792)))&gt;0
)
)</f>
        <v>#REF!</v>
      </c>
      <c r="G7" s="218" t="e" cm="1">
        <f t="array" ref="G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
        (ISNUMBER(SEARCH("Meat", 'Inventory - Public Private FMS'!$F$165:$F$1792)))
        + (ISNUMBER(SEARCH("All food commodities", 'Inventory - Public Private FMS'!$F$165:$F$1792)))
        + (ISNUMBER(SEARCH("livestock", 'Inventory - Public Private FMS'!$F$165:$F$1792)))
        + (ISNUMBER(SEARCH("Poultry", 'Inventory - Public Private FMS'!$F$165:$F$1792)))
        + (ISNUMBER(SEARCH("Bovine", 'Inventory - Public Private FMS'!$F$165:$F$1792)))
        + (ISNUMBER(SEARCH("Pork", 'Inventory - Public Private FMS'!$F$165:$F$1792))) &gt; 0
    )
)</f>
        <v>#REF!</v>
      </c>
      <c r="H7" s="218" t="e" cm="1">
        <f t="array" ref="H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--((ISNUMBER(SEARCH("Eggs",'Inventory - Public Private FMS'!$F$165:$F$1792)))
+(ISNUMBER(SEARCH("All food commodities",'Inventory - Public Private FMS'!$F$165:$F$1792)))&gt;0
)
)</f>
        <v>#REF!</v>
      </c>
      <c r="I7" s="218" t="e" cm="1">
        <f t="array" ref="I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--((ISNUMBER(SEARCH("Fish",'Inventory - Public Private FMS'!$F$165:$F$1792)))
+(ISNUMBER(SEARCH("All food commodities",'Inventory - Public Private FMS'!$F$165:$F$1792)))
+(ISNUMBER(SEARCH("Aquaculture",'Inventory - Public Private FMS'!$F$165:$F$1792)))&gt;0
)
)</f>
        <v>#REF!</v>
      </c>
      <c r="J7" s="218" t="e" cm="1">
        <f t="array" ref="J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--((ISNUMBER(SEARCH("Cereals",'Inventory - Public Private FMS'!$F$165:$F$1792)))
+(ISNUMBER(SEARCH("All food commodities",'Inventory - Public Private FMS'!$F$165:$F$1792)))&gt;0
)
)</f>
        <v>#REF!</v>
      </c>
      <c r="K7" s="214"/>
      <c r="L7" s="218" t="e" cm="1">
        <f t="array" ref="L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--((ISNUMBER(SEARCH("Primary Production",'Inventory - Public Private FMS'!$N$165:$N$1792)))
+(ISNUMBER(SEARCH("All stages",'Inventory - Public Private FMS'!$N$165:$N$1792)))&gt;0
)
)</f>
        <v>#REF!</v>
      </c>
      <c r="M7" s="218" t="e" cm="1">
        <f t="array" ref="M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--((ISNUMBER(SEARCH("Processing &amp; Manufacturing",'Inventory - Public Private FMS'!$N$165:$N$1792)))
        +(ISNUMBER(SEARCH("All stages",'Inventory - Public Private FMS'!$N$165:$N$1792)))&gt;0
)
)</f>
        <v>#REF!</v>
      </c>
      <c r="N7" s="218" t="e" cm="1">
        <f t="array" ref="N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--((ISNUMBER(SEARCH("Retail",'Inventory - Public Private FMS'!$N$165:$N$1792)))
        +(ISNUMBER(SEARCH("All stages",'Inventory - Public Private FMS'!$N$165:$N$1792)))&gt;0
)
)</f>
        <v>#REF!</v>
      </c>
      <c r="O7" s="218" t="e" cm="1">
        <f t="array" ref="O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--((ISNUMBER(SEARCH("Food services",'Inventory - Public Private FMS'!$N$165:$N$1792)))
+(ISNUMBER(SEARCH("All stages",'Inventory - Public Private FMS'!$N$165:$N$1792)))&gt;0
)
)</f>
        <v>#REF!</v>
      </c>
      <c r="P7" s="218" t="e" cm="1">
        <f t="array" ref="P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--((ISNUMBER(SEARCH("Consumption",'Inventory - Public Private FMS'!$N$165:$N$1792)))
+(ISNUMBER(SEARCH("All stages",'Inventory - Public Private FMS'!$N$165:$N$1792)))&gt;0
)
)</f>
        <v>#REF!</v>
      </c>
      <c r="Q7" s="217"/>
      <c r="R7" s="218" t="e" cm="1">
        <f t="array" ref="R7">SUMPRODUCT(
    --('Inventory - Public Private FMS'!#REF! &lt;&gt; 1),
    --(
        (ISNUMBER(SEARCH("Austria", 'Inventory - Public Private FMS'!$J$165:$J$1792))) +
        (ISNUMBER(SEARCH("Germany", 'Inventory - Public Private FMS'!$J$165:$J$1792))) +
        (ISNUMBER(SEARCH("Belgium", 'Inventory - Public Private FMS'!$J$165:$J$1792))) +
        (ISNUMBER(SEARCH("Bulgaria", 'Inventory - Public Private FMS'!$J$165:$J$1792))) +
        (ISNUMBER(SEARCH("Croatia", 'Inventory - Public Private FMS'!$J$165:$J$1792))) +
        (ISNUMBER(SEARCH("Cyprus", 'Inventory - Public Private FMS'!$J$165:$J$1792))) +
        (ISNUMBER(SEARCH("Czechia", 'Inventory - Public Private FMS'!$J$165:$J$1792))) +
        (ISNUMBER(SEARCH("Denmark", 'Inventory - Public Private FMS'!$J$165:$J$1792))) +
        (ISNUMBER(SEARCH("Estonia", 'Inventory - Public Private FMS'!$J$165:$J$1792))) +
        (ISNUMBER(SEARCH("Finland", 'Inventory - Public Private FMS'!$J$165:$J$1792))) +
        (ISNUMBER(SEARCH("France", 'Inventory - Public Private FMS'!$J$165:$J$1792))) +
        (ISNUMBER(SEARCH("Greece", 'Inventory - Public Private FMS'!$J$165:$J$1792))) +
        (ISNUMBER(SEARCH("Hungary", 'Inventory - Public Private FMS'!$J$165:$J$1792))) +
        (ISNUMBER(SEARCH("Ireland", 'Inventory - Public Private FMS'!$J$165:$J$1792))) +
        (ISNUMBER(SEARCH("Italy", 'Inventory - Public Private FMS'!$J$165:$J$1792))) +
        (ISNUMBER(SEARCH("Latvia", 'Inventory - Public Private FMS'!$J$165:$J$1792))) +
        (ISNUMBER(SEARCH("Lithuania", 'Inventory - Public Private FMS'!$J$165:$J$1792))) +
        (ISNUMBER(SEARCH("Luxembourg", 'Inventory - Public Private FMS'!$J$165:$J$1792))) +
        (ISNUMBER(SEARCH("Malta", 'Inventory - Public Private FMS'!$J$165:$J$1792))) +
        (ISNUMBER(SEARCH("Netherlands", 'Inventory - Public Private FMS'!$J$165:$J$1792))) +
        (ISNUMBER(SEARCH("Poland", 'Inventory - Public Private FMS'!$J$165:$J$1792))) +
        (ISNUMBER(SEARCH("Portugal", 'Inventory - Public Private FMS'!$J$165:$J$1792))) +
        (ISNUMBER(SEARCH("Romania", 'Inventory - Public Private FMS'!$J$165:$J$1792))) +
        (ISNUMBER(SEARCH("Slovakia", 'Inventory - Public Private FMS'!$J$165:$J$1792))) +
        (ISNUMBER(SEARCH("Slovenia", 'Inventory - Public Private FMS'!$J$165:$J$1792))) +
        (ISNUMBER(SEARCH("Spain", 'Inventory - Public Private FMS'!$J$165:$J$1792))) +
        (ISNUMBER(SEARCH("Scotland", 'Inventory - Public Private FMS'!$J$165:$J$1792))) +
        (ISNUMBER(SEARCH("Switzerland", 'Inventory - Public Private FMS'!$J$165:$J$1792))) +
        (ISNUMBER(SEARCH("Sweden", 'Inventory - Public Private FMS'!$J$165:$J$1792))) &gt;0
    )
)</f>
        <v>#REF!</v>
      </c>
    </row>
    <row r="8" spans="1:18">
      <c r="B8" s="126"/>
      <c r="C8" s="218" t="e">
        <f t="shared" ref="C8:J8" si="0">SUM(C6:C7)</f>
        <v>#REF!</v>
      </c>
      <c r="D8" s="218" t="e">
        <f t="shared" si="0"/>
        <v>#REF!</v>
      </c>
      <c r="E8" s="218" t="e">
        <f t="shared" si="0"/>
        <v>#REF!</v>
      </c>
      <c r="F8" s="218" t="e">
        <f t="shared" si="0"/>
        <v>#REF!</v>
      </c>
      <c r="G8" s="218" t="e">
        <f t="shared" si="0"/>
        <v>#REF!</v>
      </c>
      <c r="H8" s="218" t="e">
        <f t="shared" si="0"/>
        <v>#REF!</v>
      </c>
      <c r="I8" s="218" t="e">
        <f t="shared" si="0"/>
        <v>#REF!</v>
      </c>
      <c r="J8" s="218" t="e">
        <f t="shared" si="0"/>
        <v>#REF!</v>
      </c>
      <c r="K8" s="217"/>
      <c r="L8" s="218" t="e">
        <f>SUM(L6:L7)</f>
        <v>#REF!</v>
      </c>
      <c r="M8" s="218" t="e">
        <f>SUM(M6:M7)</f>
        <v>#REF!</v>
      </c>
      <c r="N8" s="218" t="e">
        <f>SUM(N6:N7)</f>
        <v>#REF!</v>
      </c>
      <c r="O8" s="218" t="e">
        <f>SUM(O6:O7)</f>
        <v>#REF!</v>
      </c>
      <c r="P8" s="218" t="e">
        <f>SUM(P6:P7)</f>
        <v>#REF!</v>
      </c>
      <c r="Q8" s="217"/>
      <c r="R8" s="219" t="e">
        <f>SUM(R6:R7)</f>
        <v>#REF!</v>
      </c>
    </row>
    <row r="9" spans="1:18">
      <c r="C9" s="217"/>
      <c r="D9" s="217"/>
      <c r="E9" s="217"/>
      <c r="F9" s="217"/>
      <c r="G9" s="217"/>
      <c r="H9" s="217"/>
      <c r="I9" s="217"/>
      <c r="J9" s="217"/>
      <c r="K9" s="217"/>
      <c r="L9" s="217"/>
      <c r="M9" s="217"/>
      <c r="N9" s="217"/>
      <c r="O9" s="217"/>
      <c r="P9" s="217"/>
      <c r="Q9" s="217"/>
      <c r="R9" s="217"/>
    </row>
    <row r="10" spans="1:18">
      <c r="C10" s="217"/>
      <c r="D10" s="217"/>
      <c r="E10" s="217"/>
      <c r="F10" s="217"/>
      <c r="G10" s="217"/>
      <c r="H10" s="217"/>
      <c r="I10" s="217"/>
      <c r="J10" s="217"/>
      <c r="K10" s="217"/>
      <c r="L10" s="217"/>
      <c r="M10" s="217"/>
      <c r="N10" s="217"/>
      <c r="O10" s="217"/>
      <c r="P10" s="217"/>
      <c r="Q10" s="217"/>
      <c r="R10" s="217"/>
    </row>
    <row r="11" spans="1:18" ht="26.1">
      <c r="B11" s="225"/>
      <c r="C11" s="312" t="s">
        <v>3904</v>
      </c>
      <c r="D11" s="313"/>
      <c r="E11" s="313"/>
      <c r="F11" s="313"/>
      <c r="G11" s="313"/>
      <c r="H11" s="313"/>
      <c r="I11" s="313"/>
      <c r="J11" s="314"/>
      <c r="K11" s="211"/>
      <c r="L11" s="306" t="s">
        <v>3905</v>
      </c>
      <c r="M11" s="306"/>
      <c r="N11" s="306"/>
      <c r="O11" s="306"/>
      <c r="P11" s="306"/>
      <c r="Q11" s="211"/>
      <c r="R11" s="306" t="s">
        <v>3906</v>
      </c>
    </row>
    <row r="12" spans="1:18">
      <c r="B12" s="231" t="s">
        <v>3919</v>
      </c>
      <c r="C12" s="307" t="s">
        <v>3908</v>
      </c>
      <c r="D12" s="308" t="s">
        <v>3909</v>
      </c>
      <c r="E12" s="309"/>
      <c r="F12" s="309"/>
      <c r="G12" s="310"/>
      <c r="H12" s="307" t="s">
        <v>2303</v>
      </c>
      <c r="I12" s="307" t="s">
        <v>71</v>
      </c>
      <c r="J12" s="307" t="s">
        <v>123</v>
      </c>
      <c r="K12" s="214"/>
      <c r="L12" s="317" t="s">
        <v>3910</v>
      </c>
      <c r="M12" s="317" t="s">
        <v>3911</v>
      </c>
      <c r="N12" s="317" t="s">
        <v>3912</v>
      </c>
      <c r="O12" s="317" t="s">
        <v>3913</v>
      </c>
      <c r="P12" s="315" t="s">
        <v>3914</v>
      </c>
      <c r="Q12" s="214"/>
      <c r="R12" s="306"/>
    </row>
    <row r="13" spans="1:18" ht="33.950000000000003">
      <c r="B13" s="226"/>
      <c r="C13" s="307"/>
      <c r="D13" s="212" t="s">
        <v>363</v>
      </c>
      <c r="E13" s="212" t="s">
        <v>370</v>
      </c>
      <c r="F13" s="221" t="s">
        <v>394</v>
      </c>
      <c r="G13" s="223" t="s">
        <v>3915</v>
      </c>
      <c r="H13" s="307"/>
      <c r="I13" s="307"/>
      <c r="J13" s="307"/>
      <c r="K13" s="214"/>
      <c r="L13" s="318"/>
      <c r="M13" s="318"/>
      <c r="N13" s="318"/>
      <c r="O13" s="318"/>
      <c r="P13" s="316"/>
      <c r="Q13" s="214"/>
      <c r="R13" s="306"/>
    </row>
    <row r="14" spans="1:18">
      <c r="A14" s="274"/>
      <c r="B14" s="215" t="s">
        <v>3916</v>
      </c>
      <c r="C14" s="216" t="e" cm="1">
        <f t="array" ref="C14">SUMPRODUCT(
    --('Inventory - Public Private FMS'!#REF! &lt;&gt; 1),
    --(
        (ISNUMBER(SEARCH("Fruits", 'Inventory - Public Private FMS'!$F$165:$F$1792)))
        + (ISNUMBER(SEARCH("Vegetables", 'Inventory - Public Private FMS'!$F$165:$F$1792)))
        + (ISNUMBER(SEARCH("All food commodities", 'Inventory - Public Private FMS'!$F$165:$F$1792))) &gt; 0
    )
)</f>
        <v>#REF!</v>
      </c>
      <c r="D14" s="216" t="e" cm="1">
        <f t="array" ref="D14">SUMPRODUCT(
    --('Inventory - Public Private FMS'!#REF! &lt;&gt; 1),
    --(
        (ISNUMBER(SEARCH("Meat", 'Inventory - Public Private FMS'!$F$165:$F$1792)))
        + (ISNUMBER(SEARCH("All food commodities", 'Inventory - Public Private FMS'!$F$165:$F$1792)))
        + (ISNUMBER(SEARCH("livestock", 'Inventory - Public Private FMS'!$F$165:$F$1792)))
        + (ISNUMBER(SEARCH("Bovine", 'Inventory - Public Private FMS'!$F$165:$F$1792))) &gt; 0
    )
)</f>
        <v>#REF!</v>
      </c>
      <c r="E14" s="216" t="e" cm="1">
        <f t="array" ref="E14">SUMPRODUCT(
    --('Inventory - Public Private FMS'!#REF! &lt;&gt; 1),
    --(
        (ISNUMBER(SEARCH("Meat", 'Inventory - Public Private FMS'!$F$165:$F$1792)))
        + (ISNUMBER(SEARCH("All food commodities", 'Inventory - Public Private FMS'!$F$165:$F$1792)))
        + (ISNUMBER(SEARCH("livestock", 'Inventory - Public Private FMS'!$F$165:$F$1792)))
        + (ISNUMBER(SEARCH("Pork", 'Inventory - Public Private FMS'!$F$165:$F$1792))) &gt; 0
    )
)</f>
        <v>#REF!</v>
      </c>
      <c r="F14" s="216" t="e" cm="1">
        <f t="array" ref="F14">SUMPRODUCT(
    --('Inventory - Public Private FMS'!#REF! &lt;&gt; 1),
    --(
        (ISNUMBER(SEARCH("Meat", 'Inventory - Public Private FMS'!$F$165:$F$1792)))
        + (ISNUMBER(SEARCH("All food commodities", 'Inventory - Public Private FMS'!$F$165:$F$1792)))
        + (ISNUMBER(SEARCH("livestock", 'Inventory - Public Private FMS'!$F$165:$F$1792)))
        + (ISNUMBER(SEARCH("Poultry", 'Inventory - Public Private FMS'!$F$165:$F$1792))) &gt; 0
    )
)</f>
        <v>#REF!</v>
      </c>
      <c r="G14" s="216" t="e" cm="1">
        <f t="array" ref="G14">SUMPRODUCT(
    --('Inventory - Public Private FMS'!#REF!&lt;&gt;1),
    --(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
    )
)</f>
        <v>#REF!</v>
      </c>
      <c r="H14" s="216" t="e" cm="1">
        <f t="array" ref="H14">SUMPRODUCT(
    --('Inventory - Public Private FMS'!#REF! &lt;&gt; 1),
    --(
        (ISNUMBER(SEARCH("Eggs", 'Inventory - Public Private FMS'!$F$165:$F$1792))
        + ISNUMBER(SEARCH("All food commodities", 'Inventory - Public Private FMS'!$F$165:$F$1792)))&gt; 0
    )
)</f>
        <v>#REF!</v>
      </c>
      <c r="I14" s="216" t="e" cm="1">
        <f t="array" ref="I14">SUMPRODUCT(
    --('Inventory - Public Private FMS'!#REF! &lt;&gt; 1),
--((ISNUMBER(SEARCH("Fish", 'Inventory - Public Private FMS'!$F$165:$F$1792)))
+ (ISNUMBER(SEARCH("All food commodities", 'Inventory - Public Private FMS'!$F$165:$F$1792)))
+ (ISNUMBER(SEARCH("Aquaculture", 'Inventory - Public Private FMS'!$F$165:$F$1792))) &gt; 0))</f>
        <v>#REF!</v>
      </c>
      <c r="J14" s="216" t="e" cm="1">
        <f t="array" ref="J14">SUMPRODUCT(
    --('Inventory - Public Private FMS'!#REF! &lt;&gt; 1),
--((ISNUMBER(SEARCH("Cereals", 'Inventory - Public Private FMS'!$F$165:$F$1792)))
+ (ISNUMBER(SEARCH("All food commodities", 'Inventory - Public Private FMS'!$F$165:$F$1792))) &gt; 0))</f>
        <v>#REF!</v>
      </c>
      <c r="K14" s="214"/>
      <c r="L14" s="216" t="e" cm="1">
        <f t="array" ref="L14">SUMPRODUCT(
    --('Inventory - Public Private FMS'!#REF! &lt;&gt; 1),
--((ISNUMBER(SEARCH("Primary Production", 'Inventory - Public Private FMS'!$N$165:$N$1792)))
+ (ISNUMBER(SEARCH("All stages", 'Inventory - Public Private FMS'!$N$165:$N$1792))) &gt; 0))</f>
        <v>#REF!</v>
      </c>
      <c r="M14" s="216" t="e" cm="1">
        <f t="array" ref="M14">SUMPRODUCT(
    --('Inventory - Public Private FMS'!#REF! &lt;&gt; 1),
--((ISNUMBER(SEARCH("Processing &amp; Manufacturing", 'Inventory - Public Private FMS'!$N$165:$N$1792)))
+ (ISNUMBER(SEARCH("All stages", 'Inventory - Public Private FMS'!$N$165:$N$1792))) &gt; 0))</f>
        <v>#REF!</v>
      </c>
      <c r="N14" s="216" t="e" cm="1">
        <f t="array" ref="N14">SUMPRODUCT(
    --('Inventory - Public Private FMS'!#REF! &lt;&gt; 1),
--((ISNUMBER(SEARCH("Retail", 'Inventory - Public Private FMS'!$N$165:$N$1792)))
+ (ISNUMBER(SEARCH("All stages", 'Inventory - Public Private FMS'!$N$165:$N$1792))) &gt; 0))</f>
        <v>#REF!</v>
      </c>
      <c r="O14" s="216" t="e" cm="1">
        <f t="array" ref="O14">SUMPRODUCT(
    --('Inventory - Public Private FMS'!#REF! &lt;&gt; 1),
--((ISNUMBER(SEARCH("Food services", 'Inventory - Public Private FMS'!$N$165:$N$1792)))
+ (ISNUMBER(SEARCH("All stages", 'Inventory - Public Private FMS'!$N$165:$N$1792))) &gt; 0))</f>
        <v>#REF!</v>
      </c>
      <c r="P14" s="216" t="s">
        <v>3920</v>
      </c>
      <c r="Q14" s="214"/>
      <c r="R14" s="216" t="e" cm="1">
        <f t="array" ref="R14">SUMPRODUCT(--('Inventory - Public Private FMS'!#REF! &lt;&gt; 1))</f>
        <v>#REF!</v>
      </c>
    </row>
    <row r="15" spans="1:18">
      <c r="B15" s="126" t="s">
        <v>737</v>
      </c>
      <c r="C15" s="218" t="e" cm="1">
        <f t="array" ref="C15">SUMPRODUCT(
    --('Inventory - Public Private FMS'!#REF! &lt;&gt; 1),
--(ISNUMBER(SEARCH("Public",'Inventory - Public Private FMS'!$L$165:$L$1792))
*((ISNUMBER(SEARCH("Fruits",'Inventory - Public Private FMS'!$F$165:$F$1792))
+ISNUMBER(SEARCH("Vegetables",'Inventory - Public Private FMS'!$F$165:$F$1792))
+ISNUMBER(SEARCH("All food commodities",'Inventory - Public Private FMS'!$F$165:$F$1792))&gt;0))))</f>
        <v>#REF!</v>
      </c>
      <c r="D15" s="218" t="e" cm="1">
        <f t="array" ref="D15">SUMPRODUCT(
    --('Inventory - Public Private FMS'!#REF! &lt;&gt; 1),
--(ISNUMBER(SEARCH("Public",'Inventory - Public Private FMS'!$L$165:$L$1792))
*((ISNUMBER(SEARCH("Meat",'Inventory - Public Private FMS'!$F$165:$F$1792))
+ISNUMBER(SEARCH("All food commodities",'Inventory - Public Private FMS'!$F$165:$F$1792))
+ISNUMBER(SEARCH("livestock",'Inventory - Public Private FMS'!$F$165:$F$1792))
+ISNUMBER(SEARCH("Bovine",'Inventory - Public Private FMS'!$F$165:$F$1792))&gt;0))))</f>
        <v>#REF!</v>
      </c>
      <c r="E15" s="218" t="e" cm="1">
        <f t="array" ref="E15">SUMPRODUCT(
--('Inventory - Public Private FMS'!#REF!&lt;&gt;1),
(--(ISNUMBER(SEARCH("Public",'Inventory - Public Private FMS'!$L$165:$L$1792))
*((ISNUMBER(SEARCH("Meat",'Inventory - Public Private FMS'!$F$165:$F$1792))
+ISNUMBER(SEARCH("All food commodities",'Inventory - Public Private FMS'!$F$165:$F$1792))
+ISNUMBER(SEARCH("livestock",'Inventory - Public Private FMS'!$F$165:$F$1792))
+ISNUMBER(SEARCH("Pork",'Inventory - Public Private FMS'!$F$165:$F$1792))&gt;0)))))</f>
        <v>#REF!</v>
      </c>
      <c r="F15" s="218" t="e" cm="1">
        <f t="array" ref="F15">SUMPRODUCT(
    --('Inventory - Public Private FMS'!#REF! &lt;&gt; 1),
--(ISNUMBER(SEARCH("Public",'Inventory - Public Private FMS'!$L$165:$L$1792))
*((ISNUMBER(SEARCH("Meat",'Inventory - Public Private FMS'!$F$165:$F$1792))
+ISNUMBER(SEARCH("All food commodities",'Inventory - Public Private FMS'!$F$165:$F$1792))
+ISNUMBER(SEARCH("livestock",'Inventory - Public Private FMS'!$F$165:$F$1792))
+ISNUMBER(SEARCH("Poultry",'Inventory - Public Private FMS'!$F$165:$F$1792))&gt;0))))</f>
        <v>#REF!</v>
      </c>
      <c r="G15" s="218" t="e" cm="1">
        <f t="array" ref="G15">SUMPRODUCT(
    --('Inventory - Public Private FMS'!#REF! &lt;&gt; 1),
--(ISNUMBER(SEARCH("Public",'Inventory - Public Private FMS'!$L$165:$L$1792))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15" s="218" t="e" cm="1">
        <f t="array" ref="H15">SUMPRODUCT(
    --('Inventory - Public Private FMS'!#REF! &lt;&gt; 1),
--(ISNUMBER(SEARCH("Public",'Inventory - Public Private FMS'!$L$165:$L$1792))
*((ISNUMBER(SEARCH("Eggs",'Inventory - Public Private FMS'!$F$165:$F$1792))
+ISNUMBER(SEARCH("All food commodities",'Inventory - Public Private FMS'!$F$165:$F$1792))&gt;0))))</f>
        <v>#REF!</v>
      </c>
      <c r="I15" s="218" t="e" cm="1">
        <f t="array" ref="I15">SUMPRODUCT(
--('Inventory - Public Private FMS'!#REF!&lt;&gt;1),
--(ISNUMBER(SEARCH("Public",'Inventory - Public Private FMS'!$L$165:$L$1792))
*((ISNUMBER(SEARCH("Fish",'Inventory - Public Private FMS'!$F$165:$F$1792))
+ISNUMBER(SEARCH("All food commodities",'Inventory - Public Private FMS'!$F$165:$F$1792))
+ISNUMBER(SEARCH("Aquaculture",'Inventory - Public Private FMS'!$F$165:$F$1792))&gt;0)))
)</f>
        <v>#REF!</v>
      </c>
      <c r="J15" s="218" t="e" cm="1">
        <f t="array" ref="J15">SUMPRODUCT(
--('Inventory - Public Private FMS'!#REF!&lt;&gt;1),
--(ISNUMBER(SEARCH("Public",'Inventory - Public Private FMS'!$L$165:$L$1792))
*((ISNUMBER(SEARCH("Cereals",'Inventory - Public Private FMS'!$F$165:$F$1792))
+ISNUMBER(SEARCH("All food commodities",'Inventory - Public Private FMS'!$F$165:$F$1792))&gt;0))))</f>
        <v>#REF!</v>
      </c>
      <c r="K15" s="214"/>
      <c r="L15" s="218" t="e" cm="1">
        <f t="array" ref="L15">SUMPRODUCT(
    --('Inventory - Public Private FMS'!#REF! &lt;&gt; 1),
--(ISNUMBER(SEARCH("Public",'Inventory - Public Private FMS'!$L$165:$L$1792))
*((ISNUMBER(SEARCH("Primary Production",'Inventory - Public Private FMS'!$N$165:$N$1792))
+ISNUMBER(SEARCH("All stages",'Inventory - Public Private FMS'!$N$165:$N$1792))&gt;0))))</f>
        <v>#REF!</v>
      </c>
      <c r="M15" s="218" t="e" cm="1">
        <f t="array" ref="M15">SUMPRODUCT(
    --('Inventory - Public Private FMS'!#REF! &lt;&gt; 1),
--(ISNUMBER(SEARCH("Public",'Inventory - Public Private FMS'!$L$165:$L$1792))
*((ISNUMBER(SEARCH("Processing &amp; Manufacturing",'Inventory - Public Private FMS'!$N$165:$N$1792))
+ISNUMBER(SEARCH("All stages",'Inventory - Public Private FMS'!$N$165:$N$1792))&gt;0))))</f>
        <v>#REF!</v>
      </c>
      <c r="N15" s="218" t="e" cm="1">
        <f t="array" ref="N15">SUMPRODUCT(
    --('Inventory - Public Private FMS'!#REF! &lt;&gt; 1),
--(ISNUMBER(SEARCH("Public",'Inventory - Public Private FMS'!$L$165:$L$1792))
*((ISNUMBER(SEARCH("Retail",'Inventory - Public Private FMS'!$N$165:$N$1792))
+ISNUMBER(SEARCH("All stages",'Inventory - Public Private FMS'!$N$165:$N$1792))&gt;0))))</f>
        <v>#REF!</v>
      </c>
      <c r="O15" s="218" t="e" cm="1">
        <f t="array" ref="O15">SUMPRODUCT(
    --('Inventory - Public Private FMS'!#REF! &lt;&gt; 1),
--(ISNUMBER(SEARCH("Public",'Inventory - Public Private FMS'!$L$165:$L$1792))
*((ISNUMBER(SEARCH("Food services",'Inventory - Public Private FMS'!$N$165:$N$1792))
+ISNUMBER(SEARCH("All stages",'Inventory - Public Private FMS'!$N$165:$N$1792))&gt;0))))</f>
        <v>#REF!</v>
      </c>
      <c r="P15" s="218" t="s">
        <v>3921</v>
      </c>
      <c r="Q15" s="217"/>
      <c r="R15" s="218" t="e" cm="1">
        <f t="array" ref="R15">SUMPRODUCT(--('Inventory - Public Private FMS'!$L$165:$L$1792 = "Public"),
--('Inventory - Public Private FMS'!#REF! &lt;&gt; 1))</f>
        <v>#REF!</v>
      </c>
    </row>
    <row r="16" spans="1:18">
      <c r="B16" s="126" t="s">
        <v>74</v>
      </c>
      <c r="C16" s="218" t="e" cm="1">
        <f t="array" ref="C16">SUMPRODUCT(
    --('Inventory - Public Private FMS'!#REF! &lt;&gt; 1),
--(ISNUMBER(SEARCH("Private",'Inventory - Public Private FMS'!$L$165:$L$1792))
*((ISNUMBER(SEARCH("Fruits",'Inventory - Public Private FMS'!$F$165:$F$1792))
+ISNUMBER(SEARCH("Vegetables",'Inventory - Public Private FMS'!$F$165:$F$1792))
+ISNUMBER(SEARCH("All food commodities",'Inventory - Public Private FMS'!$F$165:$F$1792))&gt;0))))</f>
        <v>#REF!</v>
      </c>
      <c r="D16" s="218" t="e" cm="1">
        <f t="array" ref="D1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+ISNUMBER(SEARCH("Bovine",'Inventory - Public Private FMS'!$F$165:$F$1792))&gt;0))))</f>
        <v>#REF!</v>
      </c>
      <c r="E16" s="218" t="e" cm="1">
        <f t="array" ref="E1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+ISNUMBER(SEARCH("Pork",'Inventory - Public Private FMS'!$F$165:$F$1792))&gt;0))))</f>
        <v>#REF!</v>
      </c>
      <c r="F16" s="218" t="e" cm="1">
        <f t="array" ref="F1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+ISNUMBER(SEARCH("Poultry",'Inventory - Public Private FMS'!$F$165:$F$1792))&gt;0))))</f>
        <v>#REF!</v>
      </c>
      <c r="G16" s="218" t="e" cm="1">
        <f t="array" ref="G1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16" s="218" t="e" cm="1">
        <f t="array" ref="H16">SUMPRODUCT(
    --('Inventory - Public Private FMS'!#REF! &lt;&gt; 1),
--(ISNUMBER(SEARCH("Private",'Inventory - Public Private FMS'!$L$165:$L$1792))
*((ISNUMBER(SEARCH("Eggs",'Inventory - Public Private FMS'!$F$165:$F$1792))
+ISNUMBER(SEARCH("All food commodities",'Inventory - Public Private FMS'!$F$165:$F$1792))&gt;0))))</f>
        <v>#REF!</v>
      </c>
      <c r="I16" s="218" t="e" cm="1">
        <f t="array" ref="I16">SUMPRODUCT(
--('Inventory - Public Private FMS'!#REF!&lt;&gt;1),
--(ISNUMBER(SEARCH("Private",'Inventory - Public Private FMS'!$L$165:$L$1792))
*((ISNUMBER(SEARCH("Fish",'Inventory - Public Private FMS'!$F$165:$F$1792))
+ISNUMBER(SEARCH("All food commodities",'Inventory - Public Private FMS'!$F$165:$F$1792))
+ISNUMBER(SEARCH("Aquaculture",'Inventory - Public Private FMS'!$F$165:$F$1792))&gt;0))))</f>
        <v>#REF!</v>
      </c>
      <c r="J16" s="218" t="e" cm="1">
        <f t="array" ref="J16">SUMPRODUCT(
--('Inventory - Public Private FMS'!#REF!&lt;&gt;1),
--(ISNUMBER(SEARCH("Private",'Inventory - Public Private FMS'!$L$165:$L$1792))
*((ISNUMBER(SEARCH("Cereals",'Inventory - Public Private FMS'!$F$165:$F$1792))
+ISNUMBER(SEARCH("All food commodities",'Inventory - Public Private FMS'!$F$165:$F$1792))&gt;0))))</f>
        <v>#REF!</v>
      </c>
      <c r="K16" s="214"/>
      <c r="L16" s="218" t="e" cm="1">
        <f t="array" ref="L16">SUMPRODUCT(
    --('Inventory - Public Private FMS'!#REF! &lt;&gt; 1),
--(ISNUMBER(SEARCH("Private",'Inventory - Public Private FMS'!$L$165:$L$1792))
*((ISNUMBER(SEARCH("Primary Production",'Inventory - Public Private FMS'!$N$165:$N$1792))
+ISNUMBER(SEARCH("All stages",'Inventory - Public Private FMS'!$N$165:$N$1792))&gt;0))))</f>
        <v>#REF!</v>
      </c>
      <c r="M16" s="218" t="e" cm="1">
        <f t="array" ref="M16">SUMPRODUCT(
    --('Inventory - Public Private FMS'!#REF! &lt;&gt; 1),
--(ISNUMBER(SEARCH("Private",'Inventory - Public Private FMS'!$L$165:$L$1792))
*((ISNUMBER(SEARCH("Processing &amp; Manufacturing",'Inventory - Public Private FMS'!$N$165:$N$1792))
+ISNUMBER(SEARCH("All stages",'Inventory - Public Private FMS'!$N$165:$N$1792))&gt;0))))</f>
        <v>#REF!</v>
      </c>
      <c r="N16" s="218" t="e" cm="1">
        <f t="array" ref="N16">SUMPRODUCT(
    --('Inventory - Public Private FMS'!#REF! &lt;&gt; 1),
--(ISNUMBER(SEARCH("Private",'Inventory - Public Private FMS'!$L$165:$L$1792))
*((ISNUMBER(SEARCH("Retail",'Inventory - Public Private FMS'!$N$165:$N$1792))
+ISNUMBER(SEARCH("All stages",'Inventory - Public Private FMS'!$N$165:$N$1792))&gt;0))))</f>
        <v>#REF!</v>
      </c>
      <c r="O16" s="218" t="e" cm="1">
        <f t="array" ref="O16">SUMPRODUCT(
    --('Inventory - Public Private FMS'!#REF! &lt;&gt; 1),
--(ISNUMBER(SEARCH("Private",'Inventory - Public Private FMS'!$L$165:$L$1792))
*((ISNUMBER(SEARCH("Food services",'Inventory - Public Private FMS'!$N$165:$N$1792))
+ISNUMBER(SEARCH("All stages",'Inventory - Public Private FMS'!$N$165:$N$1792))&gt;0))))</f>
        <v>#REF!</v>
      </c>
      <c r="P16" s="218" t="s">
        <v>3922</v>
      </c>
      <c r="Q16" s="217"/>
      <c r="R16" s="218" t="e" cm="1">
        <f t="array" ref="R16">SUMPRODUCT(--('Inventory - Public Private FMS'!$L$165:$L$1792 = "Private"),
--('Inventory - Public Private FMS'!#REF! &lt;&gt; 1))</f>
        <v>#REF!</v>
      </c>
    </row>
    <row r="17" spans="2:18">
      <c r="B17" s="126"/>
      <c r="C17" s="218" t="e">
        <f t="shared" ref="C17:J17" si="1">SUM(C15:C16)</f>
        <v>#REF!</v>
      </c>
      <c r="D17" s="218" t="e">
        <f t="shared" si="1"/>
        <v>#REF!</v>
      </c>
      <c r="E17" s="218" t="e">
        <f t="shared" si="1"/>
        <v>#REF!</v>
      </c>
      <c r="F17" s="218" t="e">
        <f t="shared" si="1"/>
        <v>#REF!</v>
      </c>
      <c r="G17" s="218" t="e">
        <f t="shared" si="1"/>
        <v>#REF!</v>
      </c>
      <c r="H17" s="219" t="e">
        <f t="shared" si="1"/>
        <v>#REF!</v>
      </c>
      <c r="I17" s="218" t="e">
        <f t="shared" si="1"/>
        <v>#REF!</v>
      </c>
      <c r="J17" s="219" t="e">
        <f t="shared" si="1"/>
        <v>#REF!</v>
      </c>
      <c r="K17" s="217"/>
      <c r="L17" s="219" t="e">
        <f>SUM(L15:L16)</f>
        <v>#REF!</v>
      </c>
      <c r="M17" s="218" t="e">
        <f>SUM(M15:M16)</f>
        <v>#REF!</v>
      </c>
      <c r="N17" s="218" t="e">
        <f>SUM(N15:N16)</f>
        <v>#REF!</v>
      </c>
      <c r="O17" s="218" t="e">
        <f>SUM(O15:O16)</f>
        <v>#REF!</v>
      </c>
      <c r="P17" s="218" t="s">
        <v>3923</v>
      </c>
      <c r="Q17" s="217"/>
      <c r="R17" s="218" t="e">
        <f>SUM(R15:R16)</f>
        <v>#REF!</v>
      </c>
    </row>
    <row r="18" spans="2:18">
      <c r="C18" s="217"/>
      <c r="D18" s="217"/>
      <c r="E18" s="217"/>
      <c r="F18" s="217"/>
      <c r="G18" s="217"/>
      <c r="H18" s="217"/>
      <c r="I18" s="217"/>
      <c r="J18" s="217"/>
      <c r="K18" s="217"/>
      <c r="L18" s="217"/>
      <c r="M18" s="217"/>
      <c r="N18" s="217"/>
      <c r="O18" s="217"/>
      <c r="P18" s="217"/>
      <c r="Q18" s="217"/>
      <c r="R18" s="217"/>
    </row>
    <row r="19" spans="2:18">
      <c r="C19" s="217"/>
      <c r="D19" s="217"/>
      <c r="E19" s="217"/>
      <c r="F19" s="217"/>
      <c r="G19" s="217"/>
      <c r="H19" s="217"/>
      <c r="I19" s="217"/>
      <c r="J19" s="217"/>
      <c r="K19" s="217"/>
      <c r="L19" s="217"/>
      <c r="M19" s="217"/>
      <c r="N19" s="217"/>
      <c r="O19" s="217"/>
      <c r="P19" s="217"/>
      <c r="Q19" s="217"/>
      <c r="R19" s="217"/>
    </row>
    <row r="20" spans="2:18" ht="26.1">
      <c r="B20" s="225"/>
      <c r="C20" s="312" t="s">
        <v>3904</v>
      </c>
      <c r="D20" s="313"/>
      <c r="E20" s="313"/>
      <c r="F20" s="313"/>
      <c r="G20" s="313"/>
      <c r="H20" s="313"/>
      <c r="I20" s="313"/>
      <c r="J20" s="314"/>
      <c r="K20" s="211"/>
      <c r="L20" s="306" t="s">
        <v>3905</v>
      </c>
      <c r="M20" s="306"/>
      <c r="N20" s="306"/>
      <c r="O20" s="306"/>
      <c r="P20" s="306"/>
      <c r="Q20" s="211"/>
      <c r="R20" s="306" t="s">
        <v>3906</v>
      </c>
    </row>
    <row r="21" spans="2:18" ht="33.950000000000003">
      <c r="B21" s="233" t="s">
        <v>3924</v>
      </c>
      <c r="C21" s="307" t="s">
        <v>3908</v>
      </c>
      <c r="D21" s="308" t="s">
        <v>3909</v>
      </c>
      <c r="E21" s="309"/>
      <c r="F21" s="309"/>
      <c r="G21" s="310"/>
      <c r="H21" s="307" t="s">
        <v>2303</v>
      </c>
      <c r="I21" s="307" t="s">
        <v>71</v>
      </c>
      <c r="J21" s="307" t="s">
        <v>123</v>
      </c>
      <c r="K21" s="214"/>
      <c r="L21" s="307" t="s">
        <v>3910</v>
      </c>
      <c r="M21" s="307" t="s">
        <v>3911</v>
      </c>
      <c r="N21" s="307" t="s">
        <v>3912</v>
      </c>
      <c r="O21" s="307" t="s">
        <v>3913</v>
      </c>
      <c r="P21" s="311" t="s">
        <v>3914</v>
      </c>
      <c r="Q21" s="214"/>
      <c r="R21" s="306"/>
    </row>
    <row r="22" spans="2:18" ht="33.950000000000003">
      <c r="B22" s="226"/>
      <c r="C22" s="307"/>
      <c r="D22" s="212" t="s">
        <v>363</v>
      </c>
      <c r="E22" s="212" t="s">
        <v>370</v>
      </c>
      <c r="F22" s="221" t="s">
        <v>394</v>
      </c>
      <c r="G22" s="223" t="s">
        <v>3915</v>
      </c>
      <c r="H22" s="307"/>
      <c r="I22" s="307"/>
      <c r="J22" s="307"/>
      <c r="K22" s="214"/>
      <c r="L22" s="307"/>
      <c r="M22" s="307"/>
      <c r="N22" s="307"/>
      <c r="O22" s="307"/>
      <c r="P22" s="311"/>
      <c r="Q22" s="214"/>
      <c r="R22" s="306"/>
    </row>
    <row r="23" spans="2:18">
      <c r="B23" s="126" t="s">
        <v>263</v>
      </c>
      <c r="C23" s="218" t="e" cm="1">
        <f t="array" ref="C23">SUMPRODUCT(
    --('Inventory - Public Private FMS'!#REF! &lt;&gt; 1),
--(ISNUMBER(SEARCH("EU",'Inventory - Public Private FMS'!#REF!))
*((ISNUMBER(SEARCH("Fruits",'Inventory - Public Private FMS'!$F$165:$F$1792))
+ISNUMBER(SEARCH("Vegetables",'Inventory - Public Private FMS'!$F$165:$F$1792))
+ISNUMBER(SEARCH("All food commodities",'Inventory - Public Private FMS'!$F$165:$F$1792))&gt;0))))</f>
        <v>#REF!</v>
      </c>
      <c r="D23" s="218" t="e" cm="1">
        <f t="array" ref="D23">SUMPRODUCT(
    --('Inventory - Public Private FMS'!#REF! &lt;&gt; 1),
--(ISNUMBER(SEARCH("EU",'Inventory - Public Private FMS'!#REF!))
*((ISNUMBER(SEARCH("Meat",'Inventory - Public Private FMS'!$F$165:$F$1792))
+ISNUMBER(SEARCH("All food commodities",'Inventory - Public Private FMS'!$F$165:$F$1792))
+ISNUMBER(SEARCH("livestock",'Inventory - Public Private FMS'!$F$165:$F$1792))
+ISNUMBER(SEARCH("Bovine",'Inventory - Public Private FMS'!$F$165:$F$1792))&gt;0))))</f>
        <v>#REF!</v>
      </c>
      <c r="E23" s="218" t="e" cm="1">
        <f t="array" ref="E23">SUMPRODUCT(
    --('Inventory - Public Private FMS'!#REF! &lt;&gt; 1),
--(ISNUMBER(SEARCH("EU",'Inventory - Public Private FMS'!#REF!))
*((ISNUMBER(SEARCH("Meat",'Inventory - Public Private FMS'!$F$165:$F$1792))
+ISNUMBER(SEARCH("All food commodities",'Inventory - Public Private FMS'!$F$165:$F$1792))
+ISNUMBER(SEARCH("livestock",'Inventory - Public Private FMS'!$F$165:$F$1792))
+ISNUMBER(SEARCH("Pork",'Inventory - Public Private FMS'!$F$165:$F$1792))&gt;0))))</f>
        <v>#REF!</v>
      </c>
      <c r="F23" s="218" t="e" cm="1">
        <f t="array" ref="F23">SUMPRODUCT(
    --('Inventory - Public Private FMS'!#REF! &lt;&gt; 1),
--(ISNUMBER(SEARCH("EU",'Inventory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FMS'!$F$165:$F$1792))&gt;0))))</f>
        <v>#REF!</v>
      </c>
      <c r="G23" s="218" t="e" cm="1">
        <f t="array" ref="G23">SUMPRODUCT(
    --('Inventory - Public Private FMS'!#REF! &lt;&gt; 1),
--(ISNUMBER(SEARCH("EU",'Inventory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23" s="218" t="e" cm="1">
        <f t="array" ref="H23">SUMPRODUCT(
    --('Inventory - Public Private FMS'!#REF! &lt;&gt; 1),
--(ISNUMBER(SEARCH("EU",'Inventory - Public Private FMS'!#REF!))
*((ISNUMBER(SEARCH("Eggs",'Inventory - Public Private FMS'!$F$165:$F$1792))
+ISNUMBER(SEARCH("All food commodities",'Inventory - Public Private FMS'!$F$165:$F$1792))&gt;0))))</f>
        <v>#REF!</v>
      </c>
      <c r="I23" s="218" t="e" cm="1">
        <f t="array" ref="I23">SUMPRODUCT(
    --('Inventory - Public Private FMS'!#REF! &lt;&gt; 1),
--(ISNUMBER(SEARCH("EU",'Inventory - Public Private FMS'!#REF!))
*((ISNUMBER(SEARCH("Fish",'Inventory - Public Private FMS'!$F$165:$F$1792))
+ISNUMBER(SEARCH("All food commodities",'Inventory - Public Private FMS'!$F$165:$F$1792))
+ISNUMBER(SEARCH("Aquaculture",'Inventory - Public Private FMS'!$F$165:$F$1792))&gt;0))))</f>
        <v>#REF!</v>
      </c>
      <c r="J23" s="218" t="e" cm="1">
        <f t="array" ref="J23">SUMPRODUCT(
    --('Inventory - Public Private FMS'!#REF! &lt;&gt; 1),
--(ISNUMBER(SEARCH("EU",'Inventory - Public Private FMS'!#REF!))
*((ISNUMBER(SEARCH("Cereals",'Inventory - Public Private FMS'!$F$165:$F$1792))
+ISNUMBER(SEARCH("All food commodities",'Inventory - Public Private FMS'!$F$165:$F$1792))&gt;0))))</f>
        <v>#REF!</v>
      </c>
      <c r="K23" s="214"/>
      <c r="L23" s="218" t="e" cm="1">
        <f t="array" ref="L23">SUMPRODUCT(
    --('Inventory - Public Private FMS'!#REF! &lt;&gt; 1),
--(ISNUMBER(SEARCH("EU",'Inventory - Public Private FMS'!#REF!))
*((ISNUMBER(SEARCH("Primary Production",'Inventory - Public Private FMS'!$N$165:$N$1792))
+ISNUMBER(SEARCH("All stages",'Inventory - Public Private FMS'!$N$165:$N$1792))&gt;0))))</f>
        <v>#REF!</v>
      </c>
      <c r="M23" s="218" t="e" cm="1">
        <f t="array" ref="M23">SUMPRODUCT(
    --('Inventory - Public Private FMS'!#REF! &lt;&gt; 1),
--(ISNUMBER(SEARCH("EU",'Inventory - Public Private FMS'!#REF!))
*((ISNUMBER(SEARCH("Processing &amp; Manufacturing",'Inventory - Public Private FMS'!$N$165:$N$1792))
+ISNUMBER(SEARCH("All stages",'Inventory - Public Private FMS'!$N$165:$N$1792))&gt;0))))</f>
        <v>#REF!</v>
      </c>
      <c r="N23" s="218" t="e" cm="1">
        <f t="array" ref="N23">SUMPRODUCT(
    --('Inventory - Public Private FMS'!#REF! &lt;&gt; 1),
--(ISNUMBER(SEARCH("EU",'Inventory - Public Private FMS'!#REF!))
*((ISNUMBER(SEARCH("Retail",'Inventory - Public Private FMS'!$N$165:$N$1792))
+ISNUMBER(SEARCH("All stages",'Inventory - Public Private FMS'!$N$165:$N$1792))&gt;0))))</f>
        <v>#REF!</v>
      </c>
      <c r="O23" s="218" t="e" cm="1">
        <f t="array" ref="O23">SUMPRODUCT(
    --('Inventory - Public Private FMS'!#REF! &lt;&gt; 1),
--(ISNUMBER(SEARCH("EU",'Inventory - Public Private FMS'!#REF!))
*((ISNUMBER(SEARCH("Food services",'Inventory - Public Private FMS'!$N$165:$N$1792))
+ISNUMBER(SEARCH("All stages",'Inventory - Public Private FMS'!$N$165:$N$1792))&gt;0))))</f>
        <v>#REF!</v>
      </c>
      <c r="P23" s="218" t="s">
        <v>3925</v>
      </c>
      <c r="Q23" s="217"/>
      <c r="R23" s="218" t="e" cm="1">
        <f t="array" ref="R23">SUMPRODUCT(--('Inventory - Public Private FMS'!#REF! = "EU"),
--('Inventory - Public Private FMS'!#REF! &lt;&gt; 1))</f>
        <v>#REF!</v>
      </c>
    </row>
    <row r="24" spans="2:18">
      <c r="B24" s="126" t="s">
        <v>3926</v>
      </c>
      <c r="C24" s="218" t="e" cm="1">
        <f t="array" ref="C24">SUMPRODUCT(
    --('Inventory - Public Private FMS'!#REF! &lt;&gt; 1),
--(ISNUMBER(SEARCH("UNECE",'Inventory - Public Private FMS'!#REF!))
*((ISNUMBER(SEARCH("Fruits",'Inventory - Public Private FMS'!$F$165:$F$1792))
+ISNUMBER(SEARCH("Vegetables",'Inventory - Public Private FMS'!$F$165:$F$1792))
+ISNUMBER(SEARCH("All food commodities",'Inventory - Public Private FMS'!$F$165:$F$1792))&gt;0))))</f>
        <v>#REF!</v>
      </c>
      <c r="D24" s="218" t="e" cm="1">
        <f t="array" ref="D24">SUMPRODUCT(
    --('Inventory - Public Private FMS'!#REF! &lt;&gt; 1),
--(ISNUMBER(SEARCH("UNECE",'Inventory - Public Private FMS'!#REF!))
*((ISNUMBER(SEARCH("Meat",'Inventory - Public Private FMS'!$F$165:$F$1792))
+ISNUMBER(SEARCH("All food commodities",'Inventory - Public Private FMS'!$F$165:$F$1792))
+ISNUMBER(SEARCH("livestock",'Inventory - Public Private FMS'!$F$165:$F$1792))
+ISNUMBER(SEARCH("Bovine",'Inventory - Public Private FMS'!$F$165:$F$1792))&gt;0))))</f>
        <v>#REF!</v>
      </c>
      <c r="E24" s="218" t="e" cm="1">
        <f t="array" ref="E24">SUMPRODUCT(
    --('Inventory - Public Private FMS'!#REF! &lt;&gt; 1),
--(ISNUMBER(SEARCH("UNECE",'Inventory - Public Private FMS'!#REF!))
*((ISNUMBER(SEARCH("Meat",'Inventory - Public Private FMS'!$F$165:$F$1792))
+ISNUMBER(SEARCH("All food commodities",'Inventory - Public Private FMS'!$F$165:$F$1792))
+ISNUMBER(SEARCH("livestock",'Inventory - Public Private FMS'!$F$165:$F$1792))
+ISNUMBER(SEARCH("Pork",'Inventory - Public Private FMS'!$F$165:$F$1792))&gt;0))))</f>
        <v>#REF!</v>
      </c>
      <c r="F24" s="218" t="e" cm="1">
        <f t="array" ref="F24">SUMPRODUCT(
    --('Inventory - Public Private FMS'!#REF! &lt;&gt; 1),
--(ISNUMBER(SEARCH("UNECE",'Inventory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FMS'!$F$165:$F$1792))&gt;0))))</f>
        <v>#REF!</v>
      </c>
      <c r="G24" s="218" t="e" cm="1">
        <f t="array" ref="G24">SUMPRODUCT(
    --('Inventory - Public Private FMS'!#REF! &lt;&gt; 1),
--(ISNUMBER(SEARCH("UNECE",'Inventory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24" s="218" t="e" cm="1">
        <f t="array" ref="H24">SUMPRODUCT(
    --('Inventory - Public Private FMS'!#REF! &lt;&gt; 1),
--(ISNUMBER(SEARCH("UNECE",'Inventory - Public Private FMS'!#REF!))
*((ISNUMBER(SEARCH("Eggs",'Inventory - Public Private FMS'!$F$165:$F$1792))
+ISNUMBER(SEARCH("All food commodities",'Inventory - Public Private FMS'!$F$165:$F$1792))&gt;0))))</f>
        <v>#REF!</v>
      </c>
      <c r="I24" s="218" t="e" cm="1">
        <f t="array" ref="I24">SUMPRODUCT(
    --('Inventory - Public Private FMS'!#REF! &lt;&gt; 1),
--(ISNUMBER(SEARCH("UNECE",'Inventory - Public Private FMS'!#REF!))
*((ISNUMBER(SEARCH("Fish",'Inventory - Public Private FMS'!$F$165:$F$1792))
+ISNUMBER(SEARCH("All food commodities",'Inventory - Public Private FMS'!$F$165:$F$1792))
+ISNUMBER(SEARCH("Aquaculture",'Inventory - Public Private FMS'!$F$165:$F$1792))&gt;J24))))</f>
        <v>#REF!</v>
      </c>
      <c r="J24" s="218" t="e" cm="1">
        <f t="array" ref="J24">SUMPRODUCT(
    --('Inventory - Public Private FMS'!#REF! &lt;&gt; 1),
--(ISNUMBER(SEARCH("UNECE",'Inventory - Public Private FMS'!#REF!))
*((ISNUMBER(SEARCH("Cereals",'Inventory - Public Private FMS'!$F$165:$F$1792))
+ISNUMBER(SEARCH("All food commodities",'Inventory - Public Private FMS'!$F$165:$F$1792))&gt;0))))</f>
        <v>#REF!</v>
      </c>
      <c r="K24" s="214"/>
      <c r="L24" s="218" t="e" cm="1">
        <f t="array" ref="L24">SUMPRODUCT(
    --('Inventory - Public Private FMS'!#REF! &lt;&gt; 1),
--(ISNUMBER(SEARCH("UNECE",'Inventory - Public Private FMS'!#REF!))
*((ISNUMBER(SEARCH("Primary Production",'Inventory - Public Private FMS'!$N$165:$N$1792))
+ISNUMBER(SEARCH("All stages",'Inventory - Public Private FMS'!$N$165:$N$1792))&gt;0))))</f>
        <v>#REF!</v>
      </c>
      <c r="M24" s="218" t="e" cm="1">
        <f t="array" ref="M24">SUMPRODUCT(
    --('Inventory - Public Private FMS'!#REF! &lt;&gt; 1),
--(ISNUMBER(SEARCH("UNECE",'Inventory - Public Private FMS'!#REF!))
*((ISNUMBER(SEARCH("Processing &amp; Manufacturing",'Inventory - Public Private FMS'!$N$165:$N$1792))
+ISNUMBER(SEARCH("All stages",'Inventory - Public Private FMS'!$N$165:$N$1792))&gt;0))))</f>
        <v>#REF!</v>
      </c>
      <c r="N24" s="218" t="e" cm="1">
        <f t="array" ref="N24">SUMPRODUCT(
    --('Inventory - Public Private FMS'!#REF! &lt;&gt; 1),
--(ISNUMBER(SEARCH("UNECE",'Inventory - Public Private FMS'!#REF!))
*((ISNUMBER(SEARCH("Retail",'Inventory - Public Private FMS'!$N$165:$N$1792))
+ISNUMBER(SEARCH("All stages",'Inventory - Public Private FMS'!$N$165:$N$1792))&gt;0))))</f>
        <v>#REF!</v>
      </c>
      <c r="O24" s="218" t="e" cm="1">
        <f t="array" ref="O24">SUMPRODUCT(
    --('Inventory - Public Private FMS'!#REF! &lt;&gt; 1),
--(ISNUMBER(SEARCH("UNECE",'Inventory - Public Private FMS'!#REF!))
*((ISNUMBER(SEARCH("Food services",'Inventory - Public Private FMS'!$N$165:$N$1792))
+ISNUMBER(SEARCH("All stages",'Inventory - Public Private FMS'!$N$165:$N$1792))&gt;0))))</f>
        <v>#REF!</v>
      </c>
      <c r="P24" s="218" t="s">
        <v>3927</v>
      </c>
      <c r="Q24" s="217"/>
      <c r="R24" s="218" t="e" cm="1">
        <f t="array" ref="R24">SUMPRODUCT(--('Inventory - Public Private FMS'!#REF! = "UNECE"),
--('Inventory - Public Private FMS'!#REF! &lt;&gt; 1))</f>
        <v>#REF!</v>
      </c>
    </row>
    <row r="25" spans="2:18">
      <c r="B25" s="126" t="s">
        <v>3928</v>
      </c>
      <c r="C25" s="218" t="e" cm="1">
        <f t="array" ref="C25">SUMPRODUCT(
    --('Inventory - Public Private FMS'!#REF! &lt;&gt; 1),
--(ISNUMBER(SEARCH("OECD",'Inventory - Public Private FMS'!#REF!))
*((ISNUMBER(SEARCH("Fruits",'Inventory - Public Private FMS'!$F$165:$F$1792))
+ISNUMBER(SEARCH("Vegetables",'Inventory - Public Private FMS'!$F$165:$F$1792))
+ISNUMBER(SEARCH("All food commodities",'Inventory - Public Private FMS'!$F$165:$F$1792))&gt;0))))</f>
        <v>#REF!</v>
      </c>
      <c r="D25" s="218" t="e" cm="1">
        <f t="array" ref="D25">SUMPRODUCT(
    --('Inventory - Public Private FMS'!#REF! &lt;&gt; 1),
--(ISNUMBER(SEARCH("OECD",'Inventory - Public Private FMS'!#REF!))
*((ISNUMBER(SEARCH("Meat",'Inventory - Public Private FMS'!$F$165:$F$1792))
+ISNUMBER(SEARCH("All food commodities",'Inventory - Public Private FMS'!$F$165:$F$1792))
+ISNUMBER(SEARCH("livestock",'Inventory - Public Private FMS'!$F$165:$F$1792))
+ISNUMBER(SEARCH("Bovine",'Inventory - Public Private FMS'!$F$165:$F$1792))&gt;0))))</f>
        <v>#REF!</v>
      </c>
      <c r="E25" s="218" t="e" cm="1">
        <f t="array" ref="E25">SUMPRODUCT(
    --('Inventory - Public Private FMS'!#REF! &lt;&gt; 1),
--(ISNUMBER(SEARCH("OECD",'Inventory - Public Private FMS'!#REF!))
*((ISNUMBER(SEARCH("Meat",'Inventory - Public Private FMS'!$F$165:$F$1792))
+ISNUMBER(SEARCH("All food commodities",'Inventory - Public Private FMS'!$F$165:$F$1792))
+ISNUMBER(SEARCH("livestock",'Inventory - Public Private FMS'!$F$165:$F$1792))
+ISNUMBER(SEARCH("Pork",'Inventory - Public Private FMS'!$F$165:$F$1792))&gt;0))))</f>
        <v>#REF!</v>
      </c>
      <c r="F25" s="218" t="e" cm="1">
        <f t="array" ref="F25">SUMPRODUCT(
    --('Inventory - Public Private FMS'!#REF! &lt;&gt; 1),
--(ISNUMBER(SEARCH("OECD",'Inventory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FMS'!$F$165:$F$1792))&gt;0))))</f>
        <v>#REF!</v>
      </c>
      <c r="G25" s="218" t="e" cm="1">
        <f t="array" ref="G25">SUMPRODUCT(
    --('Inventory - Public Private FMS'!#REF! &lt;&gt; 1),
--(ISNUMBER(SEARCH("OECD",'Inventory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25" s="218" t="e" cm="1">
        <f t="array" ref="H25">SUMPRODUCT(
    --('Inventory - Public Private FMS'!#REF! &lt;&gt; 1),
--(ISNUMBER(SEARCH("OECD",'Inventory - Public Private FMS'!#REF!))
*((ISNUMBER(SEARCH("Eggs",'Inventory - Public Private FMS'!$F$165:$F$1792))
+ISNUMBER(SEARCH("All food commodities",'Inventory - Public Private FMS'!$F$165:$F$1792))&gt;0))))</f>
        <v>#REF!</v>
      </c>
      <c r="I25" s="218" t="e" cm="1">
        <f t="array" ref="I25">SUMPRODUCT(
    --('Inventory - Public Private FMS'!#REF! &lt;&gt; 1),
--(ISNUMBER(SEARCH("OECD",'Inventory - Public Private FMS'!#REF!))
*((ISNUMBER(SEARCH("Fish",'Inventory - Public Private FMS'!$F$165:$F$1792))
+ISNUMBER(SEARCH("All food commodities",'Inventory - Public Private FMS'!$F$165:$F$1792))
+ISNUMBER(SEARCH("Aquaculture",'Inventory - Public Private FMS'!$F$165:$F$1792))&gt;0))))</f>
        <v>#REF!</v>
      </c>
      <c r="J25" s="218" t="e" cm="1">
        <f t="array" ref="J25">SUMPRODUCT(
    --('Inventory - Public Private FMS'!#REF! &lt;&gt; 1),
--(ISNUMBER(SEARCH("OECD",'Inventory - Public Private FMS'!#REF!))
*((ISNUMBER(SEARCH("Cereals",'Inventory - Public Private FMS'!$F$165:$F$1792))
+ISNUMBER(SEARCH("All food commodities",'Inventory - Public Private FMS'!$F$165:$F$1792))&gt;0))))</f>
        <v>#REF!</v>
      </c>
      <c r="K25" s="214"/>
      <c r="L25" s="218" t="e" cm="1">
        <f t="array" ref="L25">SUMPRODUCT(
    --('Inventory - Public Private FMS'!#REF! &lt;&gt; 1),
--(ISNUMBER(SEARCH("OECD",'Inventory - Public Private FMS'!#REF!))
*((ISNUMBER(SEARCH("Primary Production",'Inventory - Public Private FMS'!$N$165:$N$1792))
+ISNUMBER(SEARCH("All stages",'Inventory - Public Private FMS'!$N$165:$N$1792))&gt;0))))</f>
        <v>#REF!</v>
      </c>
      <c r="M25" s="218" t="e" cm="1">
        <f t="array" ref="M25">SUMPRODUCT(
    --('Inventory - Public Private FMS'!#REF! &lt;&gt; 1),
--(ISNUMBER(SEARCH("OECD",'Inventory - Public Private FMS'!#REF!))
*((ISNUMBER(SEARCH("Processing &amp; Manufacturing",'Inventory - Public Private FMS'!$N$165:$N$1792))
+ISNUMBER(SEARCH("All stages",'Inventory - Public Private FMS'!$N$165:$N$1792))&gt;0))))</f>
        <v>#REF!</v>
      </c>
      <c r="N25" s="218" t="e" cm="1">
        <f t="array" ref="N25">SUMPRODUCT(
    --('Inventory - Public Private FMS'!#REF! &lt;&gt; 1),
--(ISNUMBER(SEARCH("OECD",'Inventory - Public Private FMS'!#REF!))
*((ISNUMBER(SEARCH("Retail",'Inventory - Public Private FMS'!$N$165:$N$1792))
+ISNUMBER(SEARCH("All stages",'Inventory - Public Private FMS'!$N$165:$N$1792))&gt;0))))</f>
        <v>#REF!</v>
      </c>
      <c r="O25" s="218" t="e" cm="1">
        <f t="array" ref="O25">SUMPRODUCT(
    --('Inventory - Public Private FMS'!#REF! &lt;&gt; 1),
--(ISNUMBER(SEARCH("OECD",'Inventory - Public Private FMS'!#REF!))
*((ISNUMBER(SEARCH("Food services",'Inventory - Public Private FMS'!$N$165:$N$1792))
+ISNUMBER(SEARCH("All stages",'Inventory - Public Private FMS'!$N$165:$N$1792))&gt;0))))</f>
        <v>#REF!</v>
      </c>
      <c r="P25" s="218" t="s">
        <v>3929</v>
      </c>
      <c r="Q25" s="217"/>
      <c r="R25" s="218" t="e" cm="1">
        <f t="array" ref="R25">SUMPRODUCT(--('Inventory - Public Private FMS'!#REF! = "OECD"),
--('Inventory - Public Private FMS'!#REF! &lt;&gt; 1))</f>
        <v>#REF!</v>
      </c>
    </row>
    <row r="26" spans="2:18">
      <c r="B26" s="126" t="s">
        <v>3930</v>
      </c>
      <c r="C26" s="218" t="e" cm="1">
        <f t="array" ref="C26">SUMPRODUCT(
    --('Inventory - Public Private FMS'!#REF! &lt;&gt; 1),
--(ISNUMBER(SEARCH("Codex Alimentarius",'Inventory - Public Private FMS'!#REF!))
*((ISNUMBER(SEARCH("Fruits",'Inventory - Public Private FMS'!$F$165:$F$1792))
+ISNUMBER(SEARCH("Vegetables",'Inventory - Public Private FMS'!$F$165:$F$1792))
+ISNUMBER(SEARCH("All food commodities",'Inventory - Public Private FMS'!$F$165:$F$1792))&gt;0))))</f>
        <v>#REF!</v>
      </c>
      <c r="D26" s="218" t="e" cm="1">
        <f t="array" ref="D26">SUMPRODUCT(
    --('Inventory - Public Private FMS'!#REF! &lt;&gt; 1),
--(ISNUMBER(SEARCH("Codex Alimentarius",'Inventory - Public Private FMS'!#REF!))
*((ISNUMBER(SEARCH("Meat",'Inventory - Public Private FMS'!$F$165:$F$1792))
+ISNUMBER(SEARCH("All food commodities",'Inventory - Public Private FMS'!$F$165:$F$1792))
+ISNUMBER(SEARCH("livestock",'Inventory - Public Private FMS'!$F$165:$F$1792))
+ISNUMBER(SEARCH("Bovine",'Inventory - Public Private FMS'!$F$165:$F$1792))&gt;0))))</f>
        <v>#REF!</v>
      </c>
      <c r="E26" s="218" t="e" cm="1">
        <f t="array" ref="E26">SUMPRODUCT(
    --('Inventory - Public Private FMS'!#REF! &lt;&gt; 1),
--(ISNUMBER(SEARCH("Codex Alimentarius",'Inventory - Public Private FMS'!#REF!))
*((ISNUMBER(SEARCH("Meat",'Inventory - Public Private FMS'!$F$165:$F$1792))
+ISNUMBER(SEARCH("All food commodities",'Inventory - Public Private FMS'!$F$165:$F$1792))
+ISNUMBER(SEARCH("livestock",'Inventory - Public Private FMS'!$F$165:$F$1792))
+ISNUMBER(SEARCH("Pork",'Inventory - Public Private FMS'!$F$165:$F$1792))&gt;0))))</f>
        <v>#REF!</v>
      </c>
      <c r="F26" s="218" t="e" cm="1">
        <f t="array" ref="F26">SUMPRODUCT(
    --('Inventory - Public Private FMS'!#REF! &lt;&gt; 1),
--(ISNUMBER(SEARCH("Codex Alimentarius",'Inventory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FMS'!$F$165:$F$1792))&gt;0))))</f>
        <v>#REF!</v>
      </c>
      <c r="G26" s="218" t="e" cm="1">
        <f t="array" ref="G26">SUMPRODUCT(
    --('Inventory - Public Private FMS'!#REF! &lt;&gt; 1),
--(ISNUMBER(SEARCH("Codex Alimentarius",'Inventory - Public Private FMS'!#REF!))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26" s="218" t="e" cm="1">
        <f t="array" ref="H26">SUMPRODUCT(
    --('Inventory - Public Private FMS'!#REF! &lt;&gt; 1),
--(ISNUMBER(SEARCH("Codex Alimentarius",'Inventory - Public Private FMS'!#REF!))
*((ISNUMBER(SEARCH("Eggs",'Inventory - Public Private FMS'!$F$165:$F$1792))
+ISNUMBER(SEARCH("All food commodities",'Inventory - Public Private FMS'!$F$165:$F$1792))&gt;0))))</f>
        <v>#REF!</v>
      </c>
      <c r="I26" s="218" t="e" cm="1">
        <f t="array" ref="I26">SUMPRODUCT(
    --('Inventory - Public Private FMS'!#REF! &lt;&gt; 1),
--(ISNUMBER(SEARCH("Codex Alimentarius",'Inventory - Public Private FMS'!#REF!))
*((ISNUMBER(SEARCH("Fish",'Inventory - Public Private FMS'!$F$165:$F$1792))
+ISNUMBER(SEARCH("All food commodities",'Inventory - Public Private FMS'!$F$165:$F$1792))
+ISNUMBER(SEARCH("Aquaculture",'Inventory - Public Private FMS'!$F$165:$F$1792))&gt;0))))</f>
        <v>#REF!</v>
      </c>
      <c r="J26" s="218" t="e" cm="1">
        <f t="array" ref="J26">SUMPRODUCT(
    --('Inventory - Public Private FMS'!#REF! &lt;&gt; 1),
--(ISNUMBER(SEARCH("Codex Alimentarius",'Inventory - Public Private FMS'!#REF!))
*((ISNUMBER(SEARCH("Cereals",'Inventory - Public Private FMS'!$F$165:$F$1792))
+ISNUMBER(SEARCH("All food commodities",'Inventory - Public Private FMS'!$F$165:$F$1792))&gt;0))))</f>
        <v>#REF!</v>
      </c>
      <c r="K26" s="214"/>
      <c r="L26" s="218" t="e" cm="1">
        <f t="array" ref="L26">SUMPRODUCT(
    --('Inventory - Public Private FMS'!#REF! &lt;&gt; 1),
--(ISNUMBER(SEARCH("Codex Alimentarius",'Inventory - Public Private FMS'!#REF!))
*((ISNUMBER(SEARCH("Primary Production",'Inventory - Public Private FMS'!$N$165:$N$1792))
+ISNUMBER(SEARCH("All stages",'Inventory - Public Private FMS'!$N$165:$N$1792))&gt;0))))</f>
        <v>#REF!</v>
      </c>
      <c r="M26" s="218" t="e" cm="1">
        <f t="array" ref="M26">SUMPRODUCT(
    --('Inventory - Public Private FMS'!#REF! &lt;&gt; 1),
--(ISNUMBER(SEARCH("Codex Alimentarius",'Inventory - Public Private FMS'!#REF!))
*((ISNUMBER(SEARCH("Processing &amp; Manufacturing",'Inventory - Public Private FMS'!$N$165:$N$1792))
+ISNUMBER(SEARCH("All stages",'Inventory - Public Private FMS'!$N$165:$N$1792))&gt;0))))</f>
        <v>#REF!</v>
      </c>
      <c r="N26" s="218" t="e" cm="1">
        <f t="array" ref="N26">SUMPRODUCT(
    --('Inventory - Public Private FMS'!#REF! &lt;&gt; 1),
--(ISNUMBER(SEARCH("Codex Alimentarius",'Inventory - Public Private FMS'!#REF!))
*((ISNUMBER(SEARCH("Retail",'Inventory - Public Private FMS'!$N$165:$N$1792))
+ISNUMBER(SEARCH("All stages",'Inventory - Public Private FMS'!$N$165:$N$1792))&gt;0))))</f>
        <v>#REF!</v>
      </c>
      <c r="O26" s="218" t="e" cm="1">
        <f t="array" ref="O26">SUMPRODUCT(
    --('Inventory - Public Private FMS'!#REF! &lt;&gt; 1),
--(ISNUMBER(SEARCH("Codex Alimentarius",'Inventory - Public Private FMS'!#REF!))
*((ISNUMBER(SEARCH("Food services",'Inventory - Public Private FMS'!$N$165:$N$1792))
+ISNUMBER(SEARCH("All stages",'Inventory - Public Private FMS'!$N$165:$N$1792))&gt;0))))</f>
        <v>#REF!</v>
      </c>
      <c r="P26" s="218" t="s">
        <v>3931</v>
      </c>
      <c r="Q26" s="217"/>
      <c r="R26" s="218" t="e" cm="1">
        <f t="array" ref="R26">SUMPRODUCT(--('Inventory - Public Private FMS'!#REF! = "Codex Alimentarius"),
--('Inventory - Public Private FMS'!#REF! &lt;&gt; 1))</f>
        <v>#REF!</v>
      </c>
    </row>
    <row r="27" spans="2:18">
      <c r="B27" s="126" t="s">
        <v>3932</v>
      </c>
      <c r="C27" s="218" t="e" cm="1">
        <f t="array" ref="C27">SUMPRODUCT(
    --('Inventory - Public Private FMS'!#REF! &lt;&gt; 1),
--(ISNUMBER(SEARCH("Protected Designation of Origin (PDO) / Protected Geographical indication (PGI)",'Inventory - Public Private FMS'!$P$165:$P$1792))
*((ISNUMBER(SEARCH("Fruits",'Inventory - Public Private FMS'!$F$165:$F$1792))
+ISNUMBER(SEARCH("Vegetables",'Inventory - Public Private FMS'!$F$165:$F$1792))
+ISNUMBER(SEARCH("All food commodities",'Inventory - Public Private FMS'!$F$165:$F$1792))&gt;0))))</f>
        <v>#REF!</v>
      </c>
      <c r="D27" s="218" t="e" cm="1">
        <f t="array" ref="D27">SUMPRODUCT(
    --('Inventory - Public Private FMS'!#REF! &lt;&gt; 1),
--(ISNUMBER(SEARCH("Protected Designation of Origin (PDO) / Protected Geographical indication (PGI)",'Inventory - Public Private FMS'!$P$165:$P$1792))*((ISNUMBER(SEARCH("Meat",'Inventory - Public Private FMS'!$F$165:$F$1792))
+ISNUMBER(SEARCH("All food commodities",'Inventory - Public Private FMS'!$F$165:$F$1792))
+ISNUMBER(SEARCH("livestock",'Inventory - Public Private FMS'!$F$165:$F$1792))
+ISNUMBER(SEARCH("Bovine",'Inventory - Public Private FMS'!$F$165:$F$1792))&gt;0))))</f>
        <v>#REF!</v>
      </c>
      <c r="E27" s="218" t="e" cm="1">
        <f t="array" ref="E27">SUMPRODUCT(
    --('Inventory - Public Private FMS'!#REF! &lt;&gt; 1),
--(ISNUMBER(SEARCH("Protected Designation of Origin (PDO) / Protected Geographical indication (PGI)",'Inventory - Public Private FMS'!$P$165:$P$1792))
*((ISNUMBER(SEARCH("Meat",'Inventory - Public Private FMS'!$F$165:$F$1792))
+ISNUMBER(SEARCH("All food commodities",'Inventory - Public Private FMS'!$F$165:$F$1792))
+ISNUMBER(SEARCH("livestock",'Inventory - Public Private FMS'!$F$165:$F$1792))
+ISNUMBER(SEARCH("Pork",'Inventory - Public Private FMS'!$F$165:$F$1792))&gt;0))))</f>
        <v>#REF!</v>
      </c>
      <c r="F27" s="218" t="e" cm="1">
        <f t="array" ref="F27">SUMPRODUCT(
    --('Inventory - Public Private FMS'!#REF! &lt;&gt; 1),
--(ISNUMBER(SEARCH("Protected Designation of Origin (PDO) / Protected Geographical indication (PGI)",'Inventory - Public Private FMS'!$P$165:$P$1792))
*((ISNUMBER(SEARCH("Meat",'Inventory - Public Private FMS'!$F$165:$F$1792))
+ISNUMBER(SEARCH("All food commodities",'Inventory - Public Private FMS'!$F$165:$F$1792))
+ISNUMBER(SEARCH("livestock",'Inventory - Public Private FMS'!$F$165:$F$1792))
+ISNUMBER(SEARCH("Poultry",'Inventory - Public Private FMS'!$F$165:$F$1792))&gt;0))))</f>
        <v>#REF!</v>
      </c>
      <c r="G27" s="218" t="e" cm="1">
        <f t="array" ref="G27">SUMPRODUCT(
    --('Inventory - Public Private FMS'!#REF! &lt;&gt; 1),
--(ISNUMBER(SEARCH("Protected Designation of Origin (PDO) / Protected Geographical indication (PGI)",'Inventory - Public Private FMS'!$P$165:$P$1792))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27" s="218" t="e" cm="1">
        <f t="array" ref="H27">SUMPRODUCT(
    --('Inventory - Public Private FMS'!#REF! &lt;&gt; 1),
--(ISNUMBER(SEARCH("Protected Designation of Origin (PDO) / Protected Geographical indication (PGI)",'Inventory - Public Private FMS'!$P$165:$P$1792))
*((ISNUMBER(SEARCH("Eggs",'Inventory - Public Private FMS'!$F$165:$F$1792))
+ISNUMBER(SEARCH("All food commodities",'Inventory - Public Private FMS'!$F$165:$F$1792))&gt;0))))</f>
        <v>#REF!</v>
      </c>
      <c r="I27" s="218" t="e" cm="1">
        <f t="array" ref="I27">SUMPRODUCT(
    --('Inventory - Public Private FMS'!#REF! &lt;&gt; 1),
--(ISNUMBER(SEARCH("Protected Designation of Origin (PDO) / Protected Geographical indication (PGI)",'Inventory - Public Private FMS'!$P$165:$P$1792))
*((ISNUMBER(SEARCH("Fish",'Inventory - Public Private FMS'!$F$165:$F$1792))
+ISNUMBER(SEARCH("All food commodities",'Inventory - Public Private FMS'!$F$165:$F$1792))
+ISNUMBER(SEARCH("Aquaculture",'Inventory - Public Private FMS'!$F$165:$F$1792))&gt;0))))</f>
        <v>#REF!</v>
      </c>
      <c r="J27" s="218" t="e" cm="1">
        <f t="array" ref="J27">SUMPRODUCT(
    --('Inventory - Public Private FMS'!#REF! &lt;&gt; 1),
--(ISNUMBER(SEARCH("Protected Designation of Origin (PDO) / Protected Geographical indication (PGI)",'Inventory - Public Private FMS'!$P$165:$P$1792))
*((ISNUMBER(SEARCH("Cereals",'Inventory - Public Private FMS'!$F$165:$F$1792))
+ISNUMBER(SEARCH("All food commodities",'Inventory - Public Private FMS'!$F$165:$F$1792))&gt;0))))</f>
        <v>#REF!</v>
      </c>
      <c r="K27" s="217"/>
      <c r="L27" s="218" t="e" cm="1">
        <f t="array" ref="L27">SUMPRODUCT(
    --('Inventory - Public Private FMS'!#REF! &lt;&gt; 1),
--(ISNUMBER(SEARCH("Protected Designation of Origin (PDO) / Protected Geographical indication (PGI)",'Inventory - Public Private FMS'!$P$165:$P$1792))
*((ISNUMBER(SEARCH("Primary Production",'Inventory - Public Private FMS'!$N$165:$N$1792))
+ISNUMBER(SEARCH("All stages",'Inventory - Public Private FMS'!$N$165:$N$1792))&gt;0))))</f>
        <v>#REF!</v>
      </c>
      <c r="M27" s="218" t="e" cm="1">
        <f t="array" ref="M27">SUMPRODUCT(
    --('Inventory - Public Private FMS'!#REF! &lt;&gt; 1),
--(ISNUMBER(SEARCH("Protected Designation of Origin (PDO) / Protected Geographical indication (PGI)",'Inventory - Public Private FMS'!$P$165:$P$1792))
*((ISNUMBER(SEARCH("Processing &amp; Manufacturing",'Inventory - Public Private FMS'!$N$165:$N$1792))
+ISNUMBER(SEARCH("All stages",'Inventory - Public Private FMS'!$N$165:$N$1792))&gt;0))))</f>
        <v>#REF!</v>
      </c>
      <c r="N27" s="218" t="e" cm="1">
        <f t="array" ref="N27">SUMPRODUCT(
    --('Inventory - Public Private FMS'!#REF! &lt;&gt; 1),
--(ISNUMBER(SEARCH("Protected Designation of Origin (PDO) / Protected Geographical indication (PGI)",'Inventory - Public Private FMS'!$P$165:$P$1792))
*((ISNUMBER(SEARCH("Retail",'Inventory - Public Private FMS'!$N$165:$N$1792))
+ISNUMBER(SEARCH("All stages",'Inventory - Public Private FMS'!$N$165:$N$1792))&gt;0))))</f>
        <v>#REF!</v>
      </c>
      <c r="O27" s="218" t="e" cm="1">
        <f t="array" ref="O27">SUMPRODUCT(
    --('Inventory - Public Private FMS'!#REF! &lt;&gt; 1),
--(ISNUMBER(SEARCH("Protected Designation of Origin (PDO) / Protected Geographical indication (PGI)",'Inventory - Public Private FMS'!$P$165:$P$1792))
*((ISNUMBER(SEARCH("Food services",'Inventory - Public Private FMS'!$N$165:$N$1792))
+ISNUMBER(SEARCH("All stages",'Inventory - Public Private FMS'!$N$165:$N$1792))&gt;0))))</f>
        <v>#REF!</v>
      </c>
      <c r="P27" s="217"/>
      <c r="Q27" s="217"/>
      <c r="R27" s="218" t="e" cm="1">
        <f t="array" ref="R27">SUMPRODUCT(--('Inventory - Public Private FMS'!$P$165:$P$1792 = "Protected Designation of Origin (PDO) / Protected Geographical indication (PGI)"),
--('Inventory - Public Private FMS'!#REF! &lt;&gt; 1))</f>
        <v>#REF!</v>
      </c>
    </row>
    <row r="28" spans="2:18">
      <c r="C28" s="217"/>
      <c r="D28" s="217"/>
      <c r="E28" s="217"/>
      <c r="F28" s="217"/>
      <c r="G28" s="217"/>
      <c r="H28" s="217"/>
      <c r="I28" s="217"/>
      <c r="J28" s="217"/>
      <c r="K28" s="217"/>
      <c r="L28" s="217"/>
      <c r="M28" s="217"/>
      <c r="N28" s="217"/>
      <c r="O28" s="217"/>
      <c r="P28" s="217"/>
      <c r="Q28" s="217"/>
      <c r="R28" s="217"/>
    </row>
    <row r="29" spans="2:18">
      <c r="C29" s="217"/>
      <c r="D29" s="217"/>
      <c r="E29" s="217"/>
      <c r="F29" s="217"/>
      <c r="G29" s="217"/>
      <c r="H29" s="217"/>
      <c r="I29" s="217"/>
      <c r="J29" s="217"/>
      <c r="K29" s="217"/>
      <c r="L29" s="217"/>
      <c r="M29" s="217"/>
      <c r="N29" s="217"/>
      <c r="O29" s="217"/>
      <c r="P29" s="217"/>
      <c r="Q29" s="217"/>
      <c r="R29" s="217"/>
    </row>
    <row r="30" spans="2:18" ht="26.1">
      <c r="B30" s="225"/>
      <c r="C30" s="312" t="s">
        <v>3904</v>
      </c>
      <c r="D30" s="313"/>
      <c r="E30" s="313"/>
      <c r="F30" s="313"/>
      <c r="G30" s="313"/>
      <c r="H30" s="313"/>
      <c r="I30" s="313"/>
      <c r="J30" s="314"/>
      <c r="K30" s="211"/>
      <c r="L30" s="306" t="s">
        <v>3905</v>
      </c>
      <c r="M30" s="306"/>
      <c r="N30" s="306"/>
      <c r="O30" s="306"/>
      <c r="P30" s="306"/>
      <c r="Q30" s="211"/>
      <c r="R30" s="306" t="s">
        <v>3906</v>
      </c>
    </row>
    <row r="31" spans="2:18" ht="33.950000000000003">
      <c r="B31" s="232" t="s">
        <v>3933</v>
      </c>
      <c r="C31" s="307" t="s">
        <v>3908</v>
      </c>
      <c r="D31" s="308" t="s">
        <v>3909</v>
      </c>
      <c r="E31" s="309"/>
      <c r="F31" s="309"/>
      <c r="G31" s="310"/>
      <c r="H31" s="307" t="s">
        <v>2303</v>
      </c>
      <c r="I31" s="307" t="s">
        <v>71</v>
      </c>
      <c r="J31" s="307" t="s">
        <v>123</v>
      </c>
      <c r="K31" s="221"/>
      <c r="L31" s="307" t="s">
        <v>3910</v>
      </c>
      <c r="M31" s="307" t="s">
        <v>3911</v>
      </c>
      <c r="N31" s="307" t="s">
        <v>3912</v>
      </c>
      <c r="O31" s="307" t="s">
        <v>3913</v>
      </c>
      <c r="P31" s="311" t="s">
        <v>3914</v>
      </c>
      <c r="Q31" s="214"/>
      <c r="R31" s="306"/>
    </row>
    <row r="32" spans="2:18" ht="33.950000000000003">
      <c r="B32" s="222"/>
      <c r="C32" s="307"/>
      <c r="D32" s="212" t="s">
        <v>363</v>
      </c>
      <c r="E32" s="212" t="s">
        <v>370</v>
      </c>
      <c r="F32" s="221" t="s">
        <v>394</v>
      </c>
      <c r="G32" s="223" t="s">
        <v>3915</v>
      </c>
      <c r="H32" s="307"/>
      <c r="I32" s="307"/>
      <c r="J32" s="307"/>
      <c r="K32" s="221"/>
      <c r="L32" s="307"/>
      <c r="M32" s="307"/>
      <c r="N32" s="307"/>
      <c r="O32" s="307"/>
      <c r="P32" s="311"/>
      <c r="Q32" s="214"/>
      <c r="R32" s="306"/>
    </row>
    <row r="33" spans="1:18">
      <c r="A33" s="273"/>
      <c r="B33" s="215" t="s">
        <v>3916</v>
      </c>
      <c r="C33" s="216" t="e" cm="1">
        <f t="array" ref="C33">SUMPRODUCT(
    --('Inventory - Public Private FMS'!#REF! &lt;&gt; 1),
    --(
        (ISNUMBER(SEARCH("Fruits", 'Inventory - Public Private FMS'!$F$165:$F$1792)))
        + (ISNUMBER(SEARCH("Vegetables", 'Inventory - Public Private FMS'!$F$165:$F$1792)))
        + (ISNUMBER(SEARCH("All food commodities", 'Inventory - Public Private FMS'!$F$165:$F$1792))) &gt; 0
    )
)</f>
        <v>#REF!</v>
      </c>
      <c r="D33" s="216" t="e" cm="1">
        <f t="array" ref="D33">SUMPRODUCT(
    --('Inventory - Public Private FMS'!#REF! &lt;&gt; 1),
    --(
        (ISNUMBER(SEARCH("Meat", 'Inventory - Public Private FMS'!$F$165:$F$1792)))
        + (ISNUMBER(SEARCH("All food commodities", 'Inventory - Public Private FMS'!$F$165:$F$1792)))
        + (ISNUMBER(SEARCH("livestock", 'Inventory - Public Private FMS'!$F$165:$F$1792)))
        + (ISNUMBER(SEARCH("Bovine", 'Inventory - Public Private FMS'!$F$165:$F$1792))) &gt; 0
    )
)</f>
        <v>#REF!</v>
      </c>
      <c r="E33" s="216" t="e" cm="1">
        <f t="array" ref="E33">SUMPRODUCT(
    --('Inventory - Public Private FMS'!#REF! &lt;&gt; 1),
    --(
        (ISNUMBER(SEARCH("Meat", 'Inventory - Public Private FMS'!$F$165:$F$1792)))
        + (ISNUMBER(SEARCH("All food commodities", 'Inventory - Public Private FMS'!$F$165:$F$1792)))
        + (ISNUMBER(SEARCH("livestock", 'Inventory - Public Private FMS'!$F$165:$F$1792)))
        + (ISNUMBER(SEARCH("Pork", 'Inventory - Public Private FMS'!$F$165:$F$1792))) &gt; 0
    )
)</f>
        <v>#REF!</v>
      </c>
      <c r="F33" s="216" t="e" cm="1">
        <f t="array" ref="F33">SUMPRODUCT(
    --('Inventory - Public Private FMS'!#REF! &lt;&gt; 1),
    --(
        (ISNUMBER(SEARCH("Meat", 'Inventory - Public Private FMS'!$F$165:$F$1792)))
        + (ISNUMBER(SEARCH("All food commodities", 'Inventory - Public Private FMS'!$F$165:$F$1792)))
        + (ISNUMBER(SEARCH("livestock", 'Inventory - Public Private FMS'!$F$165:$F$1792)))
        + (ISNUMBER(SEARCH("Poultry", 'Inventory - Public Private FMS'!$F$165:$F$1792))) &gt; 0
    )
)</f>
        <v>#REF!</v>
      </c>
      <c r="G33" s="216" t="e" cm="1">
        <f t="array" ref="G33">SUMPRODUCT(
    --('Inventory - Public Private FMS'!#REF!&lt;&gt;1),
    --(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
    )
)</f>
        <v>#REF!</v>
      </c>
      <c r="H33" s="216" t="e" cm="1">
        <f t="array" ref="H33">SUMPRODUCT(
    --('Inventory - Public Private FMS'!#REF! &lt;&gt; 1),
    --(
        (ISNUMBER(SEARCH("Eggs", 'Inventory - Public Private FMS'!$F$165:$F$1792))
        + ISNUMBER(SEARCH("All food commodities", 'Inventory - Public Private FMS'!$F$165:$F$1792)))&gt; 0
    )
)</f>
        <v>#REF!</v>
      </c>
      <c r="I33" s="216" t="e" cm="1">
        <f t="array" ref="I33">SUMPRODUCT(
    --('Inventory - Public Private FMS'!#REF! &lt;&gt; 1),
--((ISNUMBER(SEARCH("Fish", 'Inventory - Public Private FMS'!$F$165:$F$1792)))
+ (ISNUMBER(SEARCH("All food commodities", 'Inventory - Public Private FMS'!$F$165:$F$1792)))
+ (ISNUMBER(SEARCH("Aquaculture", 'Inventory - Public Private FMS'!$F$165:$F$1792))) &gt; 0))</f>
        <v>#REF!</v>
      </c>
      <c r="J33" s="216" t="e" cm="1">
        <f t="array" ref="J33">SUMPRODUCT(
    --('Inventory - Public Private FMS'!#REF! &lt;&gt; 1),
--((ISNUMBER(SEARCH("Cereals", 'Inventory - Public Private FMS'!$F$165:$F$1792)))
+ (ISNUMBER(SEARCH("All food commodities", 'Inventory - Public Private FMS'!$F$165:$F$1792))) &gt; 0))</f>
        <v>#REF!</v>
      </c>
      <c r="K33" s="214"/>
      <c r="L33" s="216" t="e" cm="1">
        <f t="array" ref="L33">SUMPRODUCT(
--('Inventory - Public Private FMS'!#REF!&lt;&gt;1),
--(ISNUMBER(SEARCH("Primary Production",'Inventory - Public Private FMS'!$N$165:$N$1792))
+(ISNUMBER(SEARCH("All stages",'Inventory - Public Private FMS'!$N$165:$N$1792)))&gt;0))</f>
        <v>#REF!</v>
      </c>
      <c r="M33" s="216" t="e" cm="1">
        <f t="array" ref="M33">SUMPRODUCT(
--('Inventory - Public Private FMS'!#REF!&lt;&gt;1),
--(ISNUMBER(SEARCH("Processing &amp; Manufacturing",'Inventory - Public Private FMS'!$N$165:$N$1792))
+(ISNUMBER(SEARCH("All stages",'Inventory - Public Private FMS'!$N$165:$N$1792)))&gt;0))</f>
        <v>#REF!</v>
      </c>
      <c r="N33" s="216" t="e" cm="1">
        <f t="array" ref="N33">SUMPRODUCT(
    --('Inventory - Public Private FMS'!#REF! &lt;&gt; 1),
--(ISNUMBER(SEARCH("Retail", 'Inventory - Public Private FMS'!$N$165:$N$1792))
+ (ISNUMBER(SEARCH("All stages", 'Inventory - Public Private FMS'!$N$165:$N$1792))) &gt; 0))</f>
        <v>#REF!</v>
      </c>
      <c r="O33" s="216" t="e" cm="1">
        <f t="array" ref="O33">SUMPRODUCT(
--('Inventory - Public Private FMS'!#REF!&lt;&gt;1),
--(ISNUMBER(SEARCH("Food services",'Inventory - Public Private FMS'!$N$165:$N$1792))
+(ISNUMBER(SEARCH("All stages",'Inventory - Public Private FMS'!$N$165:$N$1792)))&gt;0))</f>
        <v>#REF!</v>
      </c>
      <c r="P33" s="216" t="s">
        <v>3920</v>
      </c>
      <c r="Q33" s="214"/>
      <c r="R33" s="216" t="e" cm="1">
        <f t="array" ref="R33">SUMPRODUCT(--('Inventory - Public Private FMS'!#REF! &lt;&gt; 1))</f>
        <v>#REF!</v>
      </c>
    </row>
    <row r="34" spans="1:18">
      <c r="B34" s="126" t="s">
        <v>3934</v>
      </c>
      <c r="C34" s="218" t="e" cm="1">
        <f t="array" ref="C34">SUMPRODUCT(
    --('Inventory - Public Private FMS'!#REF! &lt;&gt; 1),
--(ISNUMBER(SEARCH("Yes",'Inventory - Public Private FMS'!$Z$165:$Z$1792))
*((ISNUMBER(SEARCH("Fruits",'Inventory - Public Private FMS'!$F$165:$F$1792))
+ISNUMBER(SEARCH("Vegetables",'Inventory - Public Private FMS'!$F$165:$F$1792))
+ISNUMBER(SEARCH("All food commodities",'Inventory - Public Private FMS'!$F$165:$F$1792))&gt;0))))</f>
        <v>#REF!</v>
      </c>
      <c r="D34" s="218" t="e" cm="1">
        <f t="array" ref="D34">SUMPRODUCT(
    --('Inventory - Public Private FMS'!#REF! &lt;&gt; 1),
--(ISNUMBER(SEARCH("Yes",'Inventory - Public Private FMS'!$Z$165:$Z$1792))
*((ISNUMBER(SEARCH("Meat",'Inventory - Public Private FMS'!$F$165:$F$1792))
+ISNUMBER(SEARCH("All food commodities",'Inventory - Public Private FMS'!$F$165:$F$1792))
+ISNUMBER(SEARCH("livestock",'Inventory - Public Private FMS'!$F$165:$F$1792))
+ISNUMBER(SEARCH("Bovine",'Inventory - Public Private FMS'!$F$165:$F$1792))&gt;0))))</f>
        <v>#REF!</v>
      </c>
      <c r="E34" s="218" t="e" cm="1">
        <f t="array" ref="E34">SUMPRODUCT(
    --('Inventory - Public Private FMS'!#REF! &lt;&gt; 1),
--(ISNUMBER(SEARCH("Yes",'Inventory - Public Private FMS'!$Z$165:$Z$1792))
*((ISNUMBER(SEARCH("Meat",'Inventory - Public Private FMS'!$F$165:$F$1792))
+ISNUMBER(SEARCH("All food commodities",'Inventory - Public Private FMS'!$F$165:$F$1792))
+ISNUMBER(SEARCH("livestock",'Inventory - Public Private FMS'!$F$165:$F$1792))
+ISNUMBER(SEARCH("Pork",'Inventory - Public Private FMS'!$F$165:$F$1792))&gt;0))))</f>
        <v>#REF!</v>
      </c>
      <c r="F34" s="218" t="e" cm="1">
        <f t="array" ref="F34">SUMPRODUCT(
    --('Inventory - Public Private FMS'!#REF! &lt;&gt; 1),
--(ISNUMBER(SEARCH("Yes",'Inventory - Public Private FMS'!$Z$165:$Z$1792))
*((ISNUMBER(SEARCH("Meat",'Inventory - Public Private FMS'!$F$165:$F$1792))
+ISNUMBER(SEARCH("All food commodities",'Inventory - Public Private FMS'!$F$165:$F$1792))
+ISNUMBER(SEARCH("livestock",'Inventory - Public Private FMS'!$F$165:$F$1792))
+ISNUMBER(SEARCH("Poultry",'Inventory - Public Private FMS'!$F$165:$F$1792))&gt;0))))</f>
        <v>#REF!</v>
      </c>
      <c r="G34" s="218" t="e" cm="1">
        <f t="array" ref="G34">SUMPRODUCT(
    --('Inventory - Public Private FMS'!#REF! &lt;&gt; 1),
--(ISNUMBER(SEARCH("Yes",'Inventory - Public Private FMS'!$Z$165:$Z$1792))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34" s="218" t="e" cm="1">
        <f t="array" ref="H34">SUMPRODUCT(
    --('Inventory - Public Private FMS'!#REF! &lt;&gt; 1),
--(ISNUMBER(SEARCH("Yes",'Inventory - Public Private FMS'!$Z$165:$Z$1792))
*((ISNUMBER(SEARCH("Eggs",'Inventory - Public Private FMS'!$F$165:$F$1792))
+ISNUMBER(SEARCH("All food commodities",'Inventory - Public Private FMS'!$F$165:$F$1792))&gt;0))))</f>
        <v>#REF!</v>
      </c>
      <c r="I34" s="218" t="e" cm="1">
        <f t="array" ref="I34">SUMPRODUCT(
    --('Inventory - Public Private FMS'!#REF! &lt;&gt; 1),
--(ISNUMBER(SEARCH("Yes",'Inventory - Public Private FMS'!$Z$165:$Z$1792))
*((ISNUMBER(SEARCH("Fish",'Inventory - Public Private FMS'!$F$165:$F$1792))
+ISNUMBER(SEARCH("All food commodities",'Inventory - Public Private FMS'!$F$165:$F$1792))
+ISNUMBER(SEARCH("Aquaculture",'Inventory - Public Private FMS'!$F$165:$F$1792))&gt;0))))</f>
        <v>#REF!</v>
      </c>
      <c r="J34" s="218" t="e" cm="1">
        <f t="array" ref="J34">SUMPRODUCT(
    --('Inventory - Public Private FMS'!#REF! &lt;&gt; 1),
--(ISNUMBER(SEARCH("Yes",'Inventory - Public Private FMS'!$Z$165:$Z$1792))
*((ISNUMBER(SEARCH("Cereals",'Inventory - Public Private FMS'!$F$165:$F$1792))
+ISNUMBER(SEARCH("All food commodities",'Inventory - Public Private FMS'!$F$165:$F$1792))&gt;0))))</f>
        <v>#REF!</v>
      </c>
      <c r="K34" s="214"/>
      <c r="L34" s="218" t="e" cm="1">
        <f t="array" ref="L34">SUMPRODUCT(
    --('Inventory - Public Private FMS'!#REF! &lt;&gt; 1),
--(ISNUMBER(SEARCH("Yes",'Inventory - Public Private FMS'!$Z$165:$Z$1792))
*((ISNUMBER(SEARCH("Primary Production",'Inventory - Public Private FMS'!$N$165:$N$1792))
+ISNUMBER(SEARCH("All stages",'Inventory - Public Private FMS'!$N$165:$N$1792))&gt;0))))</f>
        <v>#REF!</v>
      </c>
      <c r="M34" s="218" t="e" cm="1">
        <f t="array" ref="M34">SUMPRODUCT(
    --('Inventory - Public Private FMS'!#REF! &lt;&gt; 1),
--(ISNUMBER(SEARCH("Yes",'Inventory - Public Private FMS'!$Z$165:$Z$1792))
*((ISNUMBER(SEARCH("Processing &amp; Manufacturing",'Inventory - Public Private FMS'!$N$165:$N$1792))
+ISNUMBER(SEARCH("All stages",'Inventory - Public Private FMS'!$N$165:$N$1792))&gt;0))))</f>
        <v>#REF!</v>
      </c>
      <c r="N34" s="218" t="e" cm="1">
        <f t="array" ref="N34">SUMPRODUCT(
    --('Inventory - Public Private FMS'!#REF! &lt;&gt; 1),
--(ISNUMBER(SEARCH("Yes",'Inventory - Public Private FMS'!$Z$165:$Z$1792))
*((ISNUMBER(SEARCH("Retail",'Inventory - Public Private FMS'!$N$165:$N$1792))
+ISNUMBER(SEARCH("All stages",'Inventory - Public Private FMS'!$N$165:$N$1792))&gt;0))))</f>
        <v>#REF!</v>
      </c>
      <c r="O34" s="218" t="e" cm="1">
        <f t="array" ref="O34">SUMPRODUCT(
    --('Inventory - Public Private FMS'!#REF! &lt;&gt; 1),
--(ISNUMBER(SEARCH("Yes",'Inventory - Public Private FMS'!$Z$165:$Z$1792))
*((ISNUMBER(SEARCH("Food services",'Inventory - Public Private FMS'!$N$165:$N$1792))
+ISNUMBER(SEARCH("All stages",'Inventory - Public Private FMS'!$N$165:$N$1792))&gt;0))))</f>
        <v>#REF!</v>
      </c>
      <c r="P34" s="218" t="s">
        <v>3935</v>
      </c>
      <c r="Q34" s="217"/>
      <c r="R34" s="218" t="e" cm="1">
        <f t="array" ref="R34">SUMPRODUCT(
    --(TRIM(CLEAN('Inventory - Public Private FMS'!$Z$165:$Z$1792)) = "Yes"),
    --(TRIM(CLEAN('Inventory - Public Private FMS'!#REF!)) &lt;&gt; "1")
)</f>
        <v>#REF!</v>
      </c>
    </row>
    <row r="35" spans="1:18">
      <c r="B35" s="126" t="s">
        <v>3936</v>
      </c>
      <c r="C35" s="218" t="e" cm="1">
        <f t="array" ref="C35">SUMPRODUCT(
    --('Inventory - Public Private FMS'!#REF! &lt;&gt; 1),
--(ISNUMBER(SEARCH("No",'Inventory - Public Private FMS'!$Z$165:$Z$1792))
*((ISNUMBER(SEARCH("Fruits",'Inventory - Public Private FMS'!$F$165:$F$1792))
+ISNUMBER(SEARCH("Vegetables",'Inventory - Public Private FMS'!$F$165:$F$1792))
+ISNUMBER(SEARCH("All food commodities",'Inventory - Public Private FMS'!$F$165:$F$1792))&gt;0))))</f>
        <v>#REF!</v>
      </c>
      <c r="D35" s="218" t="e" cm="1">
        <f t="array" ref="D35">SUMPRODUCT(
    --('Inventory - Public Private FMS'!#REF! &lt;&gt; 1),
--(ISNUMBER(SEARCH("No",'Inventory - Public Private FMS'!$Z$165:$Z$1792))
*((ISNUMBER(SEARCH("Meat",'Inventory - Public Private FMS'!$F$165:$F$1792))
+ISNUMBER(SEARCH("All food commodities",'Inventory - Public Private FMS'!$F$165:$F$1792))
+ISNUMBER(SEARCH("livestock",'Inventory - Public Private FMS'!$F$165:$F$1792))
+ISNUMBER(SEARCH("Bovine",'Inventory - Public Private FMS'!$F$165:$F$1792))&gt;0))))</f>
        <v>#REF!</v>
      </c>
      <c r="E35" s="218" t="e" cm="1">
        <f t="array" ref="E35">SUMPRODUCT(
    --('Inventory - Public Private FMS'!#REF! &lt;&gt; 1),
--(ISNUMBER(SEARCH("No",'Inventory - Public Private FMS'!$Z$165:$Z$1792))
*((ISNUMBER(SEARCH("Meat",'Inventory - Public Private FMS'!$F$165:$F$1792))
+ISNUMBER(SEARCH("All food commodities",'Inventory - Public Private FMS'!$F$165:$F$1792))
+ISNUMBER(SEARCH("livestock",'Inventory - Public Private FMS'!$F$165:$F$1792))
+ISNUMBER(SEARCH("Pork",'Inventory - Public Private FMS'!$F$165:$F$1792))&gt;0))))</f>
        <v>#REF!</v>
      </c>
      <c r="F35" s="218" t="e" cm="1">
        <f t="array" ref="F35">SUMPRODUCT(
    --('Inventory - Public Private FMS'!#REF! &lt;&gt; 1),
--(ISNUMBER(SEARCH("No",'Inventory - Public Private FMS'!$Z$165:$Z$1792))
*((ISNUMBER(SEARCH("Meat",'Inventory - Public Private FMS'!$F$165:$F$1792))
+ISNUMBER(SEARCH("All food commodities",'Inventory - Public Private FMS'!$F$165:$F$1792))
+ISNUMBER(SEARCH("livestock",'Inventory - Public Private FMS'!$F$165:$F$1792))
+ISNUMBER(SEARCH("Poultry",'Inventory - Public Private FMS'!$F$165:$F$1792))&gt;0))))</f>
        <v>#REF!</v>
      </c>
      <c r="G35" s="218" t="e" cm="1">
        <f t="array" ref="G35">SUMPRODUCT(
    --('Inventory - Public Private FMS'!#REF! &lt;&gt; 1),
--(ISNUMBER(SEARCH("No",'Inventory - Public Private FMS'!$Z$165:$Z$1792))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35" s="218" t="e" cm="1">
        <f t="array" ref="H35">SUMPRODUCT(
    --('Inventory - Public Private FMS'!#REF! &lt;&gt; 1),
--(ISNUMBER(SEARCH("No",'Inventory - Public Private FMS'!$Z$165:$Z$1792))
*((ISNUMBER(SEARCH("Eggs",'Inventory - Public Private FMS'!$F$165:$F$1792))
+ISNUMBER(SEARCH("All food commodities",'Inventory - Public Private FMS'!$F$165:$F$1792))&gt;0))))</f>
        <v>#REF!</v>
      </c>
      <c r="I35" s="218" t="e" cm="1">
        <f t="array" ref="I35">SUMPRODUCT(
    --('Inventory - Public Private FMS'!#REF! &lt;&gt; 1),
--(ISNUMBER(SEARCH("No",'Inventory - Public Private FMS'!$Z$165:$Z$1792))
*((ISNUMBER(SEARCH("Fish",'Inventory - Public Private FMS'!$F$165:$F$1792))
+ISNUMBER(SEARCH("All food commodities",'Inventory - Public Private FMS'!$F$165:$F$1792))
+ISNUMBER(SEARCH("Aquaculture",'Inventory - Public Private FMS'!$F$165:$F$1792))&gt;0))))</f>
        <v>#REF!</v>
      </c>
      <c r="J35" s="218" t="e" cm="1">
        <f t="array" ref="J35">SUMPRODUCT(
    --('Inventory - Public Private FMS'!#REF! &lt;&gt; 1),
--(ISNUMBER(SEARCH("No",'Inventory - Public Private FMS'!$Z$165:$Z$1792))
*((ISNUMBER(SEARCH("Cereals",'Inventory - Public Private FMS'!$F$165:$F$1792))
+ISNUMBER(SEARCH("All food commodities",'Inventory - Public Private FMS'!$F$165:$F$1792))&gt;0))))</f>
        <v>#REF!</v>
      </c>
      <c r="K35" s="214"/>
      <c r="L35" s="218" t="e" cm="1">
        <f t="array" ref="L35">SUMPRODUCT(
    --('Inventory - Public Private FMS'!#REF! &lt;&gt; 1),
--(ISNUMBER(SEARCH("No",'Inventory - Public Private FMS'!$Z$165:$Z$1792))
*((ISNUMBER(SEARCH("Primary Production",'Inventory - Public Private FMS'!$N$165:$N$1792))
+ISNUMBER(SEARCH("All stages",'Inventory - Public Private FMS'!$N$165:$N$1792))&gt;0))))</f>
        <v>#REF!</v>
      </c>
      <c r="M35" s="218" t="e" cm="1">
        <f t="array" ref="M35">SUMPRODUCT(
    --('Inventory - Public Private FMS'!#REF! &lt;&gt; 1),
--(ISNUMBER(SEARCH("No",'Inventory - Public Private FMS'!$Z$165:$Z$1792))
*((ISNUMBER(SEARCH("Processing &amp; Manufacturing",'Inventory - Public Private FMS'!$N$165:$N$1792))
+ISNUMBER(SEARCH("All stages",'Inventory - Public Private FMS'!$N$165:$N$1792))&gt;0))))</f>
        <v>#REF!</v>
      </c>
      <c r="N35" s="218" t="e" cm="1">
        <f t="array" ref="N35">SUMPRODUCT(
    --('Inventory - Public Private FMS'!#REF! &lt;&gt; 1),
--(ISNUMBER(SEARCH("No",'Inventory - Public Private FMS'!$Z$165:$Z$1792))
*((ISNUMBER(SEARCH("Retail",'Inventory - Public Private FMS'!$N$165:$N$1792))
+ISNUMBER(SEARCH("All stages",'Inventory - Public Private FMS'!$N$165:$N$1792))&gt;0))))</f>
        <v>#REF!</v>
      </c>
      <c r="O35" s="218" t="e" cm="1">
        <f t="array" ref="O35">SUMPRODUCT(
    --('Inventory - Public Private FMS'!#REF! &lt;&gt; 1),
--(ISNUMBER(SEARCH("No",'Inventory - Public Private FMS'!$Z$165:$Z$1792))
*((ISNUMBER(SEARCH("Food services",'Inventory - Public Private FMS'!$N$165:$N$1792))
+ISNUMBER(SEARCH("All stages",'Inventory - Public Private FMS'!$N$165:$N$1792))&gt;0))))</f>
        <v>#REF!</v>
      </c>
      <c r="P35" s="218" t="s">
        <v>3937</v>
      </c>
      <c r="Q35" s="217"/>
      <c r="R35" s="218" t="e" cm="1">
        <f t="array" ref="R35">SUMPRODUCT(
    --(TRIM(CLEAN('Inventory - Public Private FMS'!$Z$165:$Z$1792)) = "No"),
    --(TRIM(CLEAN('Inventory - Public Private FMS'!#REF!)) &lt;&gt; "1")
)</f>
        <v>#REF!</v>
      </c>
    </row>
    <row r="36" spans="1:18">
      <c r="B36" s="126"/>
      <c r="C36" s="218" t="e">
        <f t="shared" ref="C36:J36" si="2">SUM(C34:C35)</f>
        <v>#REF!</v>
      </c>
      <c r="D36" s="218" t="e">
        <f t="shared" si="2"/>
        <v>#REF!</v>
      </c>
      <c r="E36" s="218" t="e">
        <f t="shared" si="2"/>
        <v>#REF!</v>
      </c>
      <c r="F36" s="218" t="e">
        <f t="shared" si="2"/>
        <v>#REF!</v>
      </c>
      <c r="G36" s="218" t="e">
        <f t="shared" si="2"/>
        <v>#REF!</v>
      </c>
      <c r="H36" s="219" t="e">
        <f t="shared" si="2"/>
        <v>#REF!</v>
      </c>
      <c r="I36" s="218" t="e">
        <f t="shared" si="2"/>
        <v>#REF!</v>
      </c>
      <c r="J36" s="219" t="e">
        <f t="shared" si="2"/>
        <v>#REF!</v>
      </c>
      <c r="K36" s="217"/>
      <c r="L36" s="218" t="e">
        <f>SUM(L34:L35)</f>
        <v>#REF!</v>
      </c>
      <c r="M36" s="218" t="e">
        <f>SUM(M34:M35)</f>
        <v>#REF!</v>
      </c>
      <c r="N36" s="218" t="e">
        <f>SUM(N34:N35)</f>
        <v>#REF!</v>
      </c>
      <c r="O36" s="218" t="e">
        <f>SUM(O34:O35)</f>
        <v>#REF!</v>
      </c>
      <c r="P36" s="218" t="s">
        <v>3938</v>
      </c>
      <c r="Q36" s="217"/>
      <c r="R36" s="218" t="e">
        <f>SUM(R34:R35)</f>
        <v>#REF!</v>
      </c>
    </row>
    <row r="37" spans="1:18">
      <c r="C37" s="217"/>
      <c r="D37" s="217"/>
      <c r="E37" s="217"/>
      <c r="F37" s="217"/>
      <c r="G37" s="217"/>
      <c r="H37" s="217"/>
      <c r="I37" s="217"/>
      <c r="J37" s="217"/>
      <c r="K37" s="217"/>
      <c r="L37" s="217"/>
      <c r="M37" s="217"/>
      <c r="N37" s="217"/>
      <c r="O37" s="217"/>
      <c r="P37" s="217"/>
      <c r="Q37" s="217"/>
      <c r="R37" s="217"/>
    </row>
  </sheetData>
  <mergeCells count="52">
    <mergeCell ref="C2:J2"/>
    <mergeCell ref="L2:P2"/>
    <mergeCell ref="R2:R4"/>
    <mergeCell ref="C3:C4"/>
    <mergeCell ref="D3:G3"/>
    <mergeCell ref="H3:H4"/>
    <mergeCell ref="I3:I4"/>
    <mergeCell ref="J3:J4"/>
    <mergeCell ref="L3:L4"/>
    <mergeCell ref="M3:M4"/>
    <mergeCell ref="N3:N4"/>
    <mergeCell ref="O3:O4"/>
    <mergeCell ref="P3:P4"/>
    <mergeCell ref="R11:R13"/>
    <mergeCell ref="C12:C13"/>
    <mergeCell ref="D12:G12"/>
    <mergeCell ref="H12:H13"/>
    <mergeCell ref="I12:I13"/>
    <mergeCell ref="P12:P13"/>
    <mergeCell ref="C11:J11"/>
    <mergeCell ref="L11:P11"/>
    <mergeCell ref="J12:J13"/>
    <mergeCell ref="L12:L13"/>
    <mergeCell ref="M12:M13"/>
    <mergeCell ref="N12:N13"/>
    <mergeCell ref="O12:O13"/>
    <mergeCell ref="C20:J20"/>
    <mergeCell ref="L20:P20"/>
    <mergeCell ref="R20:R22"/>
    <mergeCell ref="C21:C22"/>
    <mergeCell ref="D21:G21"/>
    <mergeCell ref="H21:H22"/>
    <mergeCell ref="I21:I22"/>
    <mergeCell ref="J21:J22"/>
    <mergeCell ref="L21:L22"/>
    <mergeCell ref="M21:M22"/>
    <mergeCell ref="N21:N22"/>
    <mergeCell ref="O21:O22"/>
    <mergeCell ref="P21:P22"/>
    <mergeCell ref="R30:R32"/>
    <mergeCell ref="C31:C32"/>
    <mergeCell ref="D31:G31"/>
    <mergeCell ref="H31:H32"/>
    <mergeCell ref="I31:I32"/>
    <mergeCell ref="P31:P32"/>
    <mergeCell ref="C30:J30"/>
    <mergeCell ref="L30:P30"/>
    <mergeCell ref="J31:J32"/>
    <mergeCell ref="L31:L32"/>
    <mergeCell ref="M31:M32"/>
    <mergeCell ref="N31:N32"/>
    <mergeCell ref="O31:O32"/>
  </mergeCells>
  <conditionalFormatting sqref="C8:J8 C17:J17 L17:P17 R17 C36:J36">
    <cfRule type="cellIs" dxfId="117" priority="10" operator="equal">
      <formula>C5</formula>
    </cfRule>
    <cfRule type="cellIs" dxfId="116" priority="9" operator="notEqual">
      <formula>C5</formula>
    </cfRule>
  </conditionalFormatting>
  <conditionalFormatting sqref="L8:P8">
    <cfRule type="cellIs" dxfId="115" priority="6" operator="equal">
      <formula>L5</formula>
    </cfRule>
    <cfRule type="cellIs" dxfId="114" priority="5" operator="notEqual">
      <formula>L5</formula>
    </cfRule>
  </conditionalFormatting>
  <conditionalFormatting sqref="L36:P36">
    <cfRule type="cellIs" dxfId="113" priority="1" operator="notEqual">
      <formula>L33</formula>
    </cfRule>
    <cfRule type="cellIs" dxfId="112" priority="2" operator="equal">
      <formula>L33</formula>
    </cfRule>
  </conditionalFormatting>
  <conditionalFormatting sqref="R8">
    <cfRule type="cellIs" dxfId="111" priority="7" operator="notEqual">
      <formula>R5</formula>
    </cfRule>
    <cfRule type="cellIs" dxfId="110" priority="8" operator="equal">
      <formula>R5</formula>
    </cfRule>
  </conditionalFormatting>
  <conditionalFormatting sqref="R36">
    <cfRule type="cellIs" dxfId="109" priority="3" operator="notEqual">
      <formula>R33</formula>
    </cfRule>
    <cfRule type="cellIs" dxfId="108" priority="4" operator="equal">
      <formula>R33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7891-E7B7-4899-A3F0-BF4735AC3BB9}">
  <dimension ref="A2:R115"/>
  <sheetViews>
    <sheetView zoomScale="68" zoomScaleNormal="68" workbookViewId="0">
      <pane xSplit="12" ySplit="16" topLeftCell="M38" activePane="bottomRight" state="frozen"/>
      <selection pane="bottomRight" activeCell="S2" sqref="S2"/>
      <selection pane="bottomLeft" activeCell="S2" sqref="S2"/>
      <selection pane="topRight" activeCell="S2" sqref="S2"/>
    </sheetView>
  </sheetViews>
  <sheetFormatPr defaultColWidth="8.875" defaultRowHeight="15.95"/>
  <cols>
    <col min="2" max="2" width="25.375" customWidth="1"/>
    <col min="4" max="11" width="10" customWidth="1"/>
    <col min="13" max="14" width="14.125" customWidth="1"/>
    <col min="15" max="15" width="19.125" customWidth="1"/>
    <col min="16" max="17" width="14.125" customWidth="1"/>
    <col min="18" max="18" width="16.875" customWidth="1"/>
  </cols>
  <sheetData>
    <row r="2" spans="2:18" ht="24" customHeight="1">
      <c r="B2" s="234"/>
      <c r="C2" s="235"/>
      <c r="D2" s="313" t="s">
        <v>3904</v>
      </c>
      <c r="E2" s="313"/>
      <c r="F2" s="313"/>
      <c r="G2" s="313"/>
      <c r="H2" s="313"/>
      <c r="I2" s="313"/>
      <c r="J2" s="313"/>
      <c r="K2" s="314"/>
      <c r="L2" s="211"/>
      <c r="M2" s="306" t="s">
        <v>3905</v>
      </c>
      <c r="N2" s="306"/>
      <c r="O2" s="306"/>
      <c r="P2" s="306"/>
      <c r="Q2" s="211"/>
      <c r="R2" s="319" t="s">
        <v>3939</v>
      </c>
    </row>
    <row r="3" spans="2:18" ht="24" customHeight="1">
      <c r="B3" s="236"/>
      <c r="C3" s="237"/>
      <c r="D3" s="310" t="s">
        <v>3908</v>
      </c>
      <c r="E3" s="307" t="s">
        <v>3909</v>
      </c>
      <c r="F3" s="307"/>
      <c r="G3" s="307"/>
      <c r="H3" s="317" t="s">
        <v>3915</v>
      </c>
      <c r="I3" s="311" t="s">
        <v>2303</v>
      </c>
      <c r="J3" s="311" t="s">
        <v>71</v>
      </c>
      <c r="K3" s="311" t="s">
        <v>123</v>
      </c>
      <c r="L3" s="214"/>
      <c r="M3" s="307" t="s">
        <v>3910</v>
      </c>
      <c r="N3" s="307" t="s">
        <v>3911</v>
      </c>
      <c r="O3" s="307" t="s">
        <v>3912</v>
      </c>
      <c r="P3" s="307" t="s">
        <v>3940</v>
      </c>
      <c r="Q3" s="214"/>
      <c r="R3" s="306"/>
    </row>
    <row r="4" spans="2:18" ht="24" customHeight="1">
      <c r="B4" s="238"/>
      <c r="C4" s="239"/>
      <c r="D4" s="320"/>
      <c r="E4" s="213" t="s">
        <v>394</v>
      </c>
      <c r="F4" s="213" t="s">
        <v>363</v>
      </c>
      <c r="G4" s="213" t="s">
        <v>370</v>
      </c>
      <c r="H4" s="318"/>
      <c r="I4" s="311"/>
      <c r="J4" s="311"/>
      <c r="K4" s="311"/>
      <c r="L4" s="214"/>
      <c r="M4" s="311"/>
      <c r="N4" s="311"/>
      <c r="O4" s="311"/>
      <c r="P4" s="311"/>
      <c r="Q4" s="214"/>
      <c r="R4" s="306"/>
    </row>
    <row r="5" spans="2:18">
      <c r="B5" s="240" t="s">
        <v>299</v>
      </c>
      <c r="C5" s="241" t="s">
        <v>3916</v>
      </c>
      <c r="D5" s="242" cm="1">
        <f t="array" ref="D5">SUMPRODUCT(--(ISNUMBER(SEARCH("Austria", 'Inventory - Public Private FMS'!$J$17:$J$1792))
* ((ISNUMBER(SEARCH("Fruits", 'Inventory - Public Private FMS'!$F$17:$F$1792)))
+ (ISNUMBER(SEARCH("Vegetables", 'Inventory - Public Private FMS'!$F$17:$F$1792)))
+ (ISNUMBER(SEARCH("All food commodities", 'Inventory - Public Private FMS'!$F$17:$F$1792))) &gt; 0)))</f>
        <v>6</v>
      </c>
      <c r="E5" s="242" cm="1">
        <f t="array" ref="E5">SUMPRODUCT(--(ISNUMBER(SEARCH("Austria",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1</v>
      </c>
      <c r="F5" s="242" cm="1">
        <f t="array" ref="F5">SUMPRODUCT(--(ISNUMBER(SEARCH("Austria",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5" s="242" cm="1">
        <f t="array" ref="G5">SUMPRODUCT(--(ISNUMBER(SEARCH("Austria",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2</v>
      </c>
      <c r="H5" s="242" cm="1">
        <f t="array" ref="H5">SUMPRODUCT(--(ISNUMBER(SEARCH("Austria",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v>
      </c>
      <c r="I5" s="242" cm="1">
        <f t="array" ref="I5">SUMPRODUCT(--(ISNUMBER(SEARCH("Austria", 'Inventory - Public Private FMS'!$J$17:$J$1792))
* ((ISNUMBER(SEARCH("Eggs", 'Inventory - Public Private FMS'!$F$17:$F$1792)))
+ (ISNUMBER(SEARCH("All food commodities", 'Inventory - Public Private FMS'!$F$17:$F$1792))) &gt; 0)))</f>
        <v>0</v>
      </c>
      <c r="J5" s="242" cm="1">
        <f t="array" ref="J5">SUMPRODUCT(--(ISNUMBER(SEARCH("Austria", 'Inventory - Public Private FMS'!$J$17:$J$1792))
* ((ISNUMBER(SEARCH("Fish", 'Inventory - Public Private FMS'!$F$17:$F$1792)))
+ (ISNUMBER(SEARCH("All food commodities", 'Inventory - Public Private FMS'!$F$17:$F$1792))) &gt; 0)))</f>
        <v>0</v>
      </c>
      <c r="K5" s="242" cm="1">
        <f t="array" ref="K5">SUMPRODUCT(--(ISNUMBER(SEARCH("Austria", 'Inventory - Public Private FMS'!$J$17:$J$1792))
* ((ISNUMBER(SEARCH("Cereals", 'Inventory - Public Private FMS'!$F$17:$F$1792)))
+ (ISNUMBER(SEARCH("All food commodities", 'Inventory - Public Private FMS'!$F$17:$F$1792))) &gt; 0)))</f>
        <v>0</v>
      </c>
      <c r="L5" s="221"/>
      <c r="M5" s="242" cm="1">
        <f t="array" ref="M5">SUMPRODUCT(--(ISNUMBER(SEARCH("Austria", 'Inventory - Public Private FMS'!$J$17:$J$1792))
* ((ISNUMBER(SEARCH("Primary Production", 'Inventory - Public Private FMS'!$N$17:$N$1792)))
+ (ISNUMBER(SEARCH("All Stages", 'Inventory - Public Private FMS'!$N$17:$N$1792))) &gt; 0)))</f>
        <v>9</v>
      </c>
      <c r="N5" s="242" cm="1">
        <f t="array" ref="N5">SUMPRODUCT(--(ISNUMBER(SEARCH("Austria", 'Inventory - Public Private FMS'!$J$17:$J$1792))
* ((ISNUMBER(SEARCH("Processing &amp; Manufacturing", 'Inventory - Public Private FMS'!$N$17:$N$1792)))
+ (ISNUMBER(SEARCH("All Stages", 'Inventory - Public Private FMS'!$N$17:$N$1792))) &gt; 0)))</f>
        <v>8</v>
      </c>
      <c r="O5" s="242" cm="1">
        <f t="array" ref="O5">SUMPRODUCT(--(ISNUMBER(SEARCH("Austria", 'Inventory - Public Private FMS'!$J$17:$J$1792))
* ((ISNUMBER(SEARCH("Retail", 'Inventory - Public Private FMS'!$N$17:$N$1792)))
+ (ISNUMBER(SEARCH("All Stages", 'Inventory - Public Private FMS'!$N$17:$N$1792))) &gt; 0)))</f>
        <v>1</v>
      </c>
      <c r="P5" s="242" cm="1">
        <f t="array" ref="P5">SUMPRODUCT(--(ISNUMBER(SEARCH("Austria", 'Inventory - Public Private FMS'!$J$17:$J$1792))
* ((ISNUMBER(SEARCH("Food services", 'Inventory - Public Private FMS'!$N$17:$N$1792)))
+ (ISNUMBER(SEARCH("All Stages", 'Inventory - Public Private FMS'!$N$17:$N$1792))) &gt; 0)))</f>
        <v>0</v>
      </c>
      <c r="Q5" s="221"/>
      <c r="R5" s="243">
        <f>COUNTIF('Inventory - Public Private FMS'!$J$17:$J$1792, "*Austria*")</f>
        <v>9</v>
      </c>
    </row>
    <row r="6" spans="2:18">
      <c r="B6" s="244"/>
      <c r="C6" s="245" t="s">
        <v>737</v>
      </c>
      <c r="D6" s="246" cm="1">
        <f t="array" ref="D6">SUMPRODUCT(--(ISNUMBER(SEARCH("Austria",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5</v>
      </c>
      <c r="E6" s="247" cm="1">
        <f t="array" ref="E6">SUMPRODUCT(--(ISNUMBER(SEARCH("Austria",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6" s="247" cm="1">
        <f t="array" ref="F6">SUMPRODUCT(--(ISNUMBER(SEARCH("Austria",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6" s="247" cm="1">
        <f t="array" ref="G6">SUMPRODUCT(--(ISNUMBER(SEARCH("Austria",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2</v>
      </c>
      <c r="H6" s="247" cm="1">
        <f t="array" ref="H6">SUMPRODUCT(--(ISNUMBER(SEARCH("Austria",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v>
      </c>
      <c r="I6" s="247" cm="1">
        <f t="array" ref="I6">SUMPRODUCT(--(ISNUMBER(SEARCH("Austria", 'Inventory - Public Private FMS'!$J$17:$J$1792))
* ISNUMBER(SEARCH("Public", 'Inventory - Public Private FMS'!$L$17:$L$1792))
* ((ISNUMBER(SEARCH("Eggs", 'Inventory - Public Private FMS'!$F$17:$F$1792)))
+ (ISNUMBER(SEARCH("All food commodities", 'Inventory - Public Private FMS'!$F$17:$F$1792))) &gt; 0)))</f>
        <v>0</v>
      </c>
      <c r="J6" s="247" cm="1">
        <f t="array" ref="J6">SUMPRODUCT(--(ISNUMBER(SEARCH("Austria", 'Inventory - Public Private FMS'!$J$17:$J$1792))
* ISNUMBER(SEARCH("Public", 'Inventory - Public Private FMS'!$L$17:$L$1792))
* ((ISNUMBER(SEARCH("Fish", 'Inventory - Public Private FMS'!$F$17:$F$1792)))
+ (ISNUMBER(SEARCH("All food commodities", 'Inventory - Public Private FMS'!$F$17:$F$1792))) &gt; 0)))</f>
        <v>0</v>
      </c>
      <c r="K6" s="247" cm="1">
        <f t="array" ref="K6">SUMPRODUCT(--(ISNUMBER(SEARCH("Austria", 'Inventory - Public Private FMS'!$J$17:$J$1792))
* ISNUMBER(SEARCH("Public", 'Inventory - Public Private FMS'!$L$17:$L$1792))
* ((ISNUMBER(SEARCH("Cereals", 'Inventory - Public Private FMS'!$F$17:$F$1792)))
+ (ISNUMBER(SEARCH("All food commodities", 'Inventory - Public Private FMS'!$F$17:$F$1792))) &gt; 0)))</f>
        <v>0</v>
      </c>
      <c r="L6" s="224"/>
      <c r="M6" s="247" cm="1">
        <f t="array" ref="M6">SUMPRODUCT(--(ISNUMBER(SEARCH("Austria", 'Inventory - Public Private FMS'!$J$17:$J$1792))
* ISNUMBER(SEARCH("Public", 'Inventory - Public Private FMS'!$L$17:$L$1792))
* ((ISNUMBER(SEARCH("Primary Production", 'Inventory - Public Private FMS'!$N$17:$N$1792)))
+ (ISNUMBER(SEARCH("All Stages", 'Inventory - Public Private FMS'!$N$17:$N$1792))) &gt; 0)))</f>
        <v>8</v>
      </c>
      <c r="N6" s="247" cm="1">
        <f t="array" ref="N6">SUMPRODUCT(--(ISNUMBER(SEARCH("Austria", 'Inventory - Public Private FMS'!$J$17:$J$1792))
* ISNUMBER(SEARCH("Public", 'Inventory - Public Private FMS'!$L$17:$L$1792))
* ((ISNUMBER(SEARCH("Processing &amp; Manufacturing", 'Inventory - Public Private FMS'!$N$17:$N$1792)))
+ (ISNUMBER(SEARCH("All Stages", 'Inventory - Public Private FMS'!$N$17:$N$1792))) &gt; 0)))</f>
        <v>8</v>
      </c>
      <c r="O6" s="247" cm="1">
        <f t="array" ref="O6">SUMPRODUCT(--(ISNUMBER(SEARCH("Austria", 'Inventory - Public Private FMS'!$J$17:$J$1792))
* ISNUMBER(SEARCH("Public", 'Inventory - Public Private FMS'!$L$17:$L$1792))
* ((ISNUMBER(SEARCH("Retail", 'Inventory - Public Private FMS'!$N$17:$N$1792)))
+ (ISNUMBER(SEARCH("All Stages", 'Inventory - Public Private FMS'!$N$17:$N$1792))) &gt; 0)))</f>
        <v>1</v>
      </c>
      <c r="P6" s="247" cm="1">
        <f t="array" ref="P6">SUMPRODUCT(--(ISNUMBER(SEARCH("Austria", 'Inventory - Public Private FMS'!$J$17:$J$1792))
* ISNUMBER(SEARCH("Public", 'Inventory - Public Private FMS'!$L$17:$L$1792))
* ((ISNUMBER(SEARCH("Food services", 'Inventory - Public Private FMS'!$N$17:$N$1792)))
+ (ISNUMBER(SEARCH("All Stages", 'Inventory - Public Private FMS'!$N$17:$N$1792))) &gt; 0)))</f>
        <v>0</v>
      </c>
      <c r="Q6" s="224"/>
      <c r="R6" s="246" cm="1">
        <f t="array" ref="R6">SUMPRODUCT(--(ISNUMBER(SEARCH("Austria",'Inventory - Public Private FMS'!$J$17:$J$1792))
*(ISNUMBER(SEARCH("Public",'Inventory - Public Private FMS'!$L$17:$L$1792)))&gt;0))</f>
        <v>8</v>
      </c>
    </row>
    <row r="7" spans="2:18">
      <c r="B7" s="244"/>
      <c r="C7" s="245" t="s">
        <v>74</v>
      </c>
      <c r="D7" s="246" cm="1">
        <f t="array" ref="D7">SUMPRODUCT(--(ISNUMBER(SEARCH("Austria",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1</v>
      </c>
      <c r="E7" s="247" cm="1">
        <f t="array" ref="E7">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7" s="247" cm="1">
        <f t="array" ref="F7">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7" s="247" cm="1">
        <f t="array" ref="G7">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7" s="247" cm="1">
        <f t="array" ref="H7">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7" s="247" cm="1">
        <f t="array" ref="I7">SUMPRODUCT(--(ISNUMBER(SEARCH("Austria", 'Inventory - Public Private FMS'!$J$17:$J$1792))
* ISNUMBER(SEARCH("Private", 'Inventory - Public Private FMS'!$L$17:$L$1792))
* ((ISNUMBER(SEARCH("Eggs", 'Inventory - Public Private FMS'!$F$17:$F$1792)))
+ (ISNUMBER(SEARCH("All food commodities", 'Inventory - Public Private FMS'!$F$17:$F$1792))) &gt; 0)))</f>
        <v>0</v>
      </c>
      <c r="J7" s="247" cm="1">
        <f t="array" ref="J7">SUMPRODUCT(--(ISNUMBER(SEARCH("Austria", 'Inventory - Public Private FMS'!$J$17:$J$1792))
* ISNUMBER(SEARCH("Private", 'Inventory - Public Private FMS'!$L$17:$L$1792))
* ((ISNUMBER(SEARCH("Fish", 'Inventory - Public Private FMS'!$F$17:$F$1792)))
+ (ISNUMBER(SEARCH("All food commodities", 'Inventory - Public Private FMS'!$F$17:$F$1792))) &gt; 0)))</f>
        <v>0</v>
      </c>
      <c r="K7" s="247" cm="1">
        <f t="array" ref="K7">SUMPRODUCT(--(ISNUMBER(SEARCH("Austria", 'Inventory - Public Private FMS'!$J$17:$J$1792))
* ISNUMBER(SEARCH("Private", 'Inventory - Public Private FMS'!$L$17:$L$1792))
* ((ISNUMBER(SEARCH("Cereals", 'Inventory - Public Private FMS'!$F$17:$F$1792)))
+ (ISNUMBER(SEARCH("All food commodities", 'Inventory - Public Private FMS'!$F$17:$F$1792))) &gt; 0)))</f>
        <v>0</v>
      </c>
      <c r="L7" s="224"/>
      <c r="M7" s="247" cm="1">
        <f t="array" ref="M7">SUMPRODUCT(--(ISNUMBER(SEARCH("Austria", 'Inventory - Public Private FMS'!$J$17:$J$1792))
* ISNUMBER(SEARCH("Private", 'Inventory - Public Private FMS'!$L$17:$L$1792))
* ((ISNUMBER(SEARCH("Primary Production", 'Inventory - Public Private FMS'!$N$17:$N$1792)))
+ (ISNUMBER(SEARCH("All Stages", 'Inventory - Public Private FMS'!$N$17:$N$1792))) &gt; 0)))</f>
        <v>1</v>
      </c>
      <c r="N7" s="247" cm="1">
        <f t="array" ref="N7">SUMPRODUCT(--(ISNUMBER(SEARCH("Austria", 'Inventory - Public Private FMS'!$J$17:$J$1792))
* ISNUMBER(SEARCH("Private", 'Inventory - Public Private FMS'!$L$17:$L$1792))
* ((ISNUMBER(SEARCH("Processing &amp; Manufacturing", 'Inventory - Public Private FMS'!$N$17:$N$1792)))
+ (ISNUMBER(SEARCH("All Stages", 'Inventory - Public Private FMS'!$N$17:$N$1792))) &gt; 0)))</f>
        <v>0</v>
      </c>
      <c r="O7" s="247" cm="1">
        <f t="array" ref="O7">SUMPRODUCT(--(ISNUMBER(SEARCH("Austria", 'Inventory - Public Private FMS'!$J$17:$J$1792))
* ISNUMBER(SEARCH("Private", 'Inventory - Public Private FMS'!$L$17:$L$1792))
* ((ISNUMBER(SEARCH("Retail", 'Inventory - Public Private FMS'!$N$17:$N$1792)))
+ (ISNUMBER(SEARCH("All Stages", 'Inventory - Public Private FMS'!$N$17:$N$1792))) &gt; 0)))</f>
        <v>0</v>
      </c>
      <c r="P7" s="247" cm="1">
        <f t="array" ref="P7">SUMPRODUCT(--(ISNUMBER(SEARCH("Austria", 'Inventory - Public Private FMS'!$J$17:$J$1792))
* ISNUMBER(SEARCH("Private", 'Inventory - Public Private FMS'!$L$17:$L$1792))
* ((ISNUMBER(SEARCH("Food services", 'Inventory - Public Private FMS'!$N$17:$N$1792)))
+ (ISNUMBER(SEARCH("All Stages", 'Inventory - Public Private FMS'!$N$17:$N$1792))) &gt; 0)))</f>
        <v>0</v>
      </c>
      <c r="Q7" s="224"/>
      <c r="R7" s="246" cm="1">
        <f t="array" ref="R7">SUMPRODUCT(--(ISNUMBER(SEARCH("Austria",'Inventory - Public Private FMS'!$J$17:$J$1792))
*(ISNUMBER(SEARCH("Private",'Inventory - Public Private FMS'!$L$17:$L$1792)))&gt;0))</f>
        <v>1</v>
      </c>
    </row>
    <row r="8" spans="2:18">
      <c r="B8" s="248"/>
      <c r="C8" s="249" t="s">
        <v>3941</v>
      </c>
      <c r="D8" s="246">
        <f t="shared" ref="D8:K8" si="0">SUM(D6:D7)</f>
        <v>6</v>
      </c>
      <c r="E8" s="246">
        <f t="shared" si="0"/>
        <v>1</v>
      </c>
      <c r="F8" s="246">
        <f t="shared" si="0"/>
        <v>0</v>
      </c>
      <c r="G8" s="246">
        <f t="shared" si="0"/>
        <v>2</v>
      </c>
      <c r="H8" s="246">
        <f t="shared" si="0"/>
        <v>3</v>
      </c>
      <c r="I8" s="246">
        <f t="shared" si="0"/>
        <v>0</v>
      </c>
      <c r="J8" s="246">
        <f t="shared" si="0"/>
        <v>0</v>
      </c>
      <c r="K8" s="246">
        <f t="shared" si="0"/>
        <v>0</v>
      </c>
      <c r="L8" s="224"/>
      <c r="M8" s="246">
        <f>SUM(M6:M7)</f>
        <v>9</v>
      </c>
      <c r="N8" s="246">
        <f>SUM(N6:N7)</f>
        <v>8</v>
      </c>
      <c r="O8" s="246">
        <f>SUM(O6:O7)</f>
        <v>1</v>
      </c>
      <c r="P8" s="246">
        <f>SUM(P6:P7)</f>
        <v>0</v>
      </c>
      <c r="Q8" s="224"/>
      <c r="R8" s="246">
        <f>SUM(R6:R7)</f>
        <v>9</v>
      </c>
    </row>
    <row r="9" spans="2:18">
      <c r="B9" s="240" t="s">
        <v>306</v>
      </c>
      <c r="C9" s="250" t="s">
        <v>3916</v>
      </c>
      <c r="D9" s="242" cm="1">
        <f t="array" ref="D9">SUMPRODUCT(--(ISNUMBER(SEARCH("Germany", 'Inventory - Public Private FMS'!$J$17:$J$1792))
* ((ISNUMBER(SEARCH("Fruits", 'Inventory - Public Private FMS'!$F$17:$F$1792)))
+ (ISNUMBER(SEARCH("Vegetables", 'Inventory - Public Private FMS'!$F$17:$F$1792)))
+ (ISNUMBER(SEARCH("All food commodities", 'Inventory - Public Private FMS'!$F$17:$F$1792))) &gt; 0)))</f>
        <v>37</v>
      </c>
      <c r="E9" s="242" cm="1">
        <f t="array" ref="E9">SUMPRODUCT(--(ISNUMBER(SEARCH("Germany",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3</v>
      </c>
      <c r="F9" s="242" cm="1">
        <f t="array" ref="F9">SUMPRODUCT(--(ISNUMBER(SEARCH("Germany",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7</v>
      </c>
      <c r="G9" s="242" cm="1">
        <f t="array" ref="G9">SUMPRODUCT(--(ISNUMBER(SEARCH("Germany",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9</v>
      </c>
      <c r="H9" s="242" cm="1">
        <f t="array" ref="H9">SUMPRODUCT(--(ISNUMBER(SEARCH("Germany",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13</v>
      </c>
      <c r="I9" s="251" cm="1">
        <f t="array" ref="I9">SUMPRODUCT(--(ISNUMBER(SEARCH("Germany", 'Inventory - Public Private FMS'!$J$17:$J$1792))
* ((ISNUMBER(SEARCH("Eggs", 'Inventory - Public Private FMS'!$F$17:$F$1792)))
+ (ISNUMBER(SEARCH("All food commodities", 'Inventory - Public Private FMS'!$F$17:$F$1792))) &gt; 0)))</f>
        <v>1</v>
      </c>
      <c r="J9" s="251" cm="1">
        <f t="array" ref="J9">SUMPRODUCT(--(ISNUMBER(SEARCH("Germany", 'Inventory - Public Private FMS'!$J$17:$J$1792))
* ((ISNUMBER(SEARCH("Fish", 'Inventory - Public Private FMS'!$F$17:$F$1792)))
+ (ISNUMBER(SEARCH("All food commodities", 'Inventory - Public Private FMS'!$F$17:$F$1792))) &gt; 0)))</f>
        <v>8</v>
      </c>
      <c r="K9" s="251" cm="1">
        <f t="array" ref="K9">SUMPRODUCT(--(ISNUMBER(SEARCH("Germany", 'Inventory - Public Private FMS'!$J$17:$J$1792))
* ((ISNUMBER(SEARCH("Cereals", 'Inventory - Public Private FMS'!$F$17:$F$1792)))
+ (ISNUMBER(SEARCH("All food commodities", 'Inventory - Public Private FMS'!$F$17:$F$1792))) &gt; 0)))</f>
        <v>2</v>
      </c>
      <c r="L9" s="252"/>
      <c r="M9" s="251" cm="1">
        <f t="array" ref="M9">SUMPRODUCT(--(ISNUMBER(SEARCH("Germany", 'Inventory - Public Private FMS'!$J$17:$J$1792))
* ((ISNUMBER(SEARCH("Primary Production", 'Inventory - Public Private FMS'!$N$17:$N$1792)))
+ (ISNUMBER(SEARCH("All Stages", 'Inventory - Public Private FMS'!$N$17:$N$1792))) &gt; 0)))</f>
        <v>38</v>
      </c>
      <c r="N9" s="251" cm="1">
        <f t="array" ref="N9">SUMPRODUCT(--(ISNUMBER(SEARCH("Germany", 'Inventory - Public Private FMS'!$J$17:$J$1792))
* ((ISNUMBER(SEARCH("Processing &amp; Manufacturing", 'Inventory - Public Private FMS'!$N$17:$N$1792)))
+ (ISNUMBER(SEARCH("All Stages", 'Inventory - Public Private FMS'!$N$17:$N$1792))) &gt; 0)))</f>
        <v>38</v>
      </c>
      <c r="O9" s="251" cm="1">
        <f t="array" ref="O9">SUMPRODUCT(--(ISNUMBER(SEARCH("Germany", 'Inventory - Public Private FMS'!$J$17:$J$1792))
* ((ISNUMBER(SEARCH("Retail", 'Inventory - Public Private FMS'!$N$17:$N$1792)))
+ (ISNUMBER(SEARCH("All Stages", 'Inventory - Public Private FMS'!$N$17:$N$1792))) &gt; 0)))</f>
        <v>21</v>
      </c>
      <c r="P9" s="251" cm="1">
        <f t="array" ref="P9">SUMPRODUCT(--(ISNUMBER(SEARCH("Germany", 'Inventory - Public Private FMS'!$J$17:$J$1792))
* ((ISNUMBER(SEARCH("Food services", 'Inventory - Public Private FMS'!$N$17:$N$1792)))
+ (ISNUMBER(SEARCH("All Stages", 'Inventory - Public Private FMS'!$N$17:$N$1792))) &gt; 0)))</f>
        <v>0</v>
      </c>
      <c r="Q9" s="252"/>
      <c r="R9" s="243">
        <f>COUNTIF('Inventory - Public Private FMS'!$J$17:$J$1792, "*Germany*")</f>
        <v>56</v>
      </c>
    </row>
    <row r="10" spans="2:18">
      <c r="B10" s="244"/>
      <c r="C10" s="245" t="s">
        <v>737</v>
      </c>
      <c r="D10" s="246" cm="1">
        <f t="array" ref="D10">SUMPRODUCT(--(ISNUMBER(SEARCH("Germany",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19</v>
      </c>
      <c r="E10" s="247" cm="1">
        <f t="array" ref="E10">SUMPRODUCT(--(ISNUMBER(SEARCH("Germany",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2</v>
      </c>
      <c r="F10" s="247" cm="1">
        <f t="array" ref="F10">SUMPRODUCT(--(ISNUMBER(SEARCH("Germany",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6</v>
      </c>
      <c r="G10" s="247" cm="1">
        <f t="array" ref="G10">SUMPRODUCT(--(ISNUMBER(SEARCH("Germany",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8</v>
      </c>
      <c r="H10" s="247" cm="1">
        <f t="array" ref="H10">SUMPRODUCT(--(ISNUMBER(SEARCH("Germany",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12</v>
      </c>
      <c r="I10" s="247" cm="1">
        <f t="array" ref="I10">SUMPRODUCT(--(ISNUMBER(SEARCH("Germany", 'Inventory - Public Private FMS'!$J$17:$J$1792))
* ISNUMBER(SEARCH("Public", 'Inventory - Public Private FMS'!$L$17:$L$1792))
* ((ISNUMBER(SEARCH("Eggs", 'Inventory - Public Private FMS'!$F$17:$F$1792)))
+ (ISNUMBER(SEARCH("All food commodities", 'Inventory - Public Private FMS'!$F$17:$F$1792))) &gt; 0)))</f>
        <v>1</v>
      </c>
      <c r="J10" s="247" cm="1">
        <f t="array" ref="J10">SUMPRODUCT(--(ISNUMBER(SEARCH("Germany", 'Inventory - Public Private FMS'!$J$17:$J$1792))
* ISNUMBER(SEARCH("Public", 'Inventory - Public Private FMS'!$L$17:$L$1792))
* ((ISNUMBER(SEARCH("Fish", 'Inventory - Public Private FMS'!$F$17:$F$1792)))
+ (ISNUMBER(SEARCH("All food commodities", 'Inventory - Public Private FMS'!$F$17:$F$1792))) &gt; 0)))</f>
        <v>8</v>
      </c>
      <c r="K10" s="247" cm="1">
        <f t="array" ref="K10">SUMPRODUCT(--(ISNUMBER(SEARCH("Germany", 'Inventory - Public Private FMS'!$J$17:$J$1792))
* ISNUMBER(SEARCH("Public", 'Inventory - Public Private FMS'!$L$17:$L$1792))
* ((ISNUMBER(SEARCH("Cereals", 'Inventory - Public Private FMS'!$F$17:$F$1792)))
+ (ISNUMBER(SEARCH("All food commodities", 'Inventory - Public Private FMS'!$F$17:$F$1792))) &gt; 0)))</f>
        <v>2</v>
      </c>
      <c r="L10" s="224"/>
      <c r="M10" s="247" cm="1">
        <f t="array" ref="M10">SUMPRODUCT(--(ISNUMBER(SEARCH("Germany", 'Inventory - Public Private FMS'!$J$17:$J$1792))
* ISNUMBER(SEARCH("Public", 'Inventory - Public Private FMS'!$L$17:$L$1792))
* ((ISNUMBER(SEARCH("Primary Production", 'Inventory - Public Private FMS'!$N$17:$N$1792)))
+ (ISNUMBER(SEARCH("All Stages", 'Inventory - Public Private FMS'!$N$17:$N$1792))) &gt; 0)))</f>
        <v>37</v>
      </c>
      <c r="N10" s="247" cm="1">
        <f t="array" ref="N10">SUMPRODUCT(--(ISNUMBER(SEARCH("Germany", 'Inventory - Public Private FMS'!$J$17:$J$1792))
* ISNUMBER(SEARCH("Public", 'Inventory - Public Private FMS'!$L$17:$L$1792))
* ((ISNUMBER(SEARCH("Processing &amp; Manufacturing", 'Inventory - Public Private FMS'!$N$17:$N$1792)))
+ (ISNUMBER(SEARCH("All Stages", 'Inventory - Public Private FMS'!$N$17:$N$1792))) &gt; 0)))</f>
        <v>37</v>
      </c>
      <c r="O10" s="247" cm="1">
        <f t="array" ref="O10">SUMPRODUCT(--(ISNUMBER(SEARCH("Germany", 'Inventory - Public Private FMS'!$J$17:$J$1792))
* ISNUMBER(SEARCH("Public", 'Inventory - Public Private FMS'!$L$17:$L$1792))
* ((ISNUMBER(SEARCH("Retail", 'Inventory - Public Private FMS'!$N$17:$N$1792)))
+ (ISNUMBER(SEARCH("All Stages", 'Inventory - Public Private FMS'!$N$17:$N$1792))) &gt; 0)))</f>
        <v>4</v>
      </c>
      <c r="P10" s="247" cm="1">
        <f t="array" ref="P10">SUMPRODUCT(--(ISNUMBER(SEARCH("Germany", 'Inventory - Public Private FMS'!$J$17:$J$1792))
* ISNUMBER(SEARCH("Public", 'Inventory - Public Private FMS'!$L$17:$L$1792))
* ((ISNUMBER(SEARCH("Food services", 'Inventory - Public Private FMS'!$N$17:$N$1792)))
+ (ISNUMBER(SEARCH("All Stages", 'Inventory - Public Private FMS'!$N$17:$N$1792))) &gt; 0)))</f>
        <v>0</v>
      </c>
      <c r="Q10" s="224"/>
      <c r="R10" s="246" cm="1">
        <f t="array" ref="R10">SUMPRODUCT(--(ISNUMBER(SEARCH("Germany",'Inventory - Public Private FMS'!$J$17:$J$1792))
*(ISNUMBER(SEARCH("Public",'Inventory - Public Private FMS'!$L$17:$L$1792)))&gt;0))</f>
        <v>38</v>
      </c>
    </row>
    <row r="11" spans="2:18">
      <c r="B11" s="244"/>
      <c r="C11" s="245" t="s">
        <v>74</v>
      </c>
      <c r="D11" s="246" cm="1">
        <f t="array" ref="D11">SUMPRODUCT(--(ISNUMBER(SEARCH("Germany",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18</v>
      </c>
      <c r="E11" s="247" cm="1">
        <f t="array" ref="E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11" s="247" cm="1">
        <f t="array" ref="F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G11" s="247" cm="1">
        <f t="array" ref="G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H11" s="247" cm="1">
        <f t="array" ref="H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11" s="247" cm="1">
        <f t="array" ref="I11">SUMPRODUCT(--(ISNUMBER(SEARCH("Germany", 'Inventory - Public Private FMS'!$J$17:$J$1792))
* ISNUMBER(SEARCH("Private", 'Inventory - Public Private FMS'!$L$17:$L$1792))
* ((ISNUMBER(SEARCH("Eggs", 'Inventory - Public Private FMS'!$F$17:$F$1792)))
+ (ISNUMBER(SEARCH("All food commodities", 'Inventory - Public Private FMS'!$F$17:$F$1792))) &gt; 0)))</f>
        <v>0</v>
      </c>
      <c r="J11" s="247" cm="1">
        <f t="array" ref="J11">SUMPRODUCT(--(ISNUMBER(SEARCH("Germany", 'Inventory - Public Private FMS'!$J$17:$J$1792))
* ISNUMBER(SEARCH("Private", 'Inventory - Public Private FMS'!$L$17:$L$1792))
* ((ISNUMBER(SEARCH("Fish", 'Inventory - Public Private FMS'!$F$17:$F$1792)))
+ (ISNUMBER(SEARCH("All food commodities", 'Inventory - Public Private FMS'!$F$17:$F$1792))) &gt; 0)))</f>
        <v>0</v>
      </c>
      <c r="K11" s="247" cm="1">
        <f t="array" ref="K11">SUMPRODUCT(--(ISNUMBER(SEARCH("Germany", 'Inventory - Public Private FMS'!$J$17:$J$1792))
* ISNUMBER(SEARCH("Private", 'Inventory - Public Private FMS'!$L$17:$L$1792))
* ((ISNUMBER(SEARCH("Cereals", 'Inventory - Public Private FMS'!$F$17:$F$1792)))
+ (ISNUMBER(SEARCH("All food commodities", 'Inventory - Public Private FMS'!$F$17:$F$1792))) &gt; 0)))</f>
        <v>0</v>
      </c>
      <c r="L11" s="224"/>
      <c r="M11" s="247" cm="1">
        <f t="array" ref="M11">SUMPRODUCT(--(ISNUMBER(SEARCH("Germany", 'Inventory - Public Private FMS'!$J$17:$J$1792))
* ISNUMBER(SEARCH("Private", 'Inventory - Public Private FMS'!$L$17:$L$1792))
* ((ISNUMBER(SEARCH("Primary Production", 'Inventory - Public Private FMS'!$N$17:$N$1792)))
+ (ISNUMBER(SEARCH("All Stages", 'Inventory - Public Private FMS'!$N$17:$N$1792))) &gt; 0)))</f>
        <v>1</v>
      </c>
      <c r="N11" s="247" cm="1">
        <f t="array" ref="N11">SUMPRODUCT(--(ISNUMBER(SEARCH("Germany", 'Inventory - Public Private FMS'!$J$17:$J$1792))
* ISNUMBER(SEARCH("Private", 'Inventory - Public Private FMS'!$L$17:$L$1792))
* ((ISNUMBER(SEARCH("Processing &amp; Manufacturing", 'Inventory - Public Private FMS'!$N$17:$N$1792)))
+ (ISNUMBER(SEARCH("All Stages", 'Inventory - Public Private FMS'!$N$17:$N$1792))) &gt; 0)))</f>
        <v>1</v>
      </c>
      <c r="O11" s="247" cm="1">
        <f t="array" ref="O11">SUMPRODUCT(--(ISNUMBER(SEARCH("Germany", 'Inventory - Public Private FMS'!$J$17:$J$1792))
* ISNUMBER(SEARCH("Private", 'Inventory - Public Private FMS'!$L$17:$L$1792))
* ((ISNUMBER(SEARCH("Retail", 'Inventory - Public Private FMS'!$N$17:$N$1792)))
+ (ISNUMBER(SEARCH("All Stages", 'Inventory - Public Private FMS'!$N$17:$N$1792))) &gt; 0)))</f>
        <v>17</v>
      </c>
      <c r="P11" s="247" cm="1">
        <f t="array" ref="P11">SUMPRODUCT(--(ISNUMBER(SEARCH("Germany", 'Inventory - Public Private FMS'!$J$17:$J$1792))
* ISNUMBER(SEARCH("Private", 'Inventory - Public Private FMS'!$L$17:$L$1792))
* ((ISNUMBER(SEARCH("Food services", 'Inventory - Public Private FMS'!$N$17:$N$1792)))
+ (ISNUMBER(SEARCH("All Stages", 'Inventory - Public Private FMS'!$N$17:$N$1792))) &gt; 0)))</f>
        <v>0</v>
      </c>
      <c r="Q11" s="224"/>
      <c r="R11" s="246" cm="1">
        <f t="array" ref="R11">SUMPRODUCT(--(ISNUMBER(SEARCH("Germany",'Inventory - Public Private FMS'!$J$17:$J$1792))
*(ISNUMBER(SEARCH("Private",'Inventory - Public Private FMS'!$L$17:$L$1792)))&gt;0))</f>
        <v>18</v>
      </c>
    </row>
    <row r="12" spans="2:18">
      <c r="B12" s="248"/>
      <c r="C12" s="249" t="s">
        <v>3941</v>
      </c>
      <c r="D12" s="246">
        <f t="shared" ref="D12:K12" si="1">SUM(D10:D11)</f>
        <v>37</v>
      </c>
      <c r="E12" s="246">
        <f t="shared" si="1"/>
        <v>3</v>
      </c>
      <c r="F12" s="246">
        <f t="shared" si="1"/>
        <v>7</v>
      </c>
      <c r="G12" s="246">
        <f t="shared" si="1"/>
        <v>9</v>
      </c>
      <c r="H12" s="246">
        <f t="shared" si="1"/>
        <v>13</v>
      </c>
      <c r="I12" s="246">
        <f t="shared" si="1"/>
        <v>1</v>
      </c>
      <c r="J12" s="246">
        <f t="shared" si="1"/>
        <v>8</v>
      </c>
      <c r="K12" s="246">
        <f t="shared" si="1"/>
        <v>2</v>
      </c>
      <c r="L12" s="224"/>
      <c r="M12" s="246">
        <f>SUM(M10:M11)</f>
        <v>38</v>
      </c>
      <c r="N12" s="246">
        <f>SUM(N10:N11)</f>
        <v>38</v>
      </c>
      <c r="O12" s="246">
        <f>SUM(O10:O11)</f>
        <v>21</v>
      </c>
      <c r="P12" s="246">
        <f>SUM(P10:P11)</f>
        <v>0</v>
      </c>
      <c r="Q12" s="224"/>
      <c r="R12" s="246">
        <f>SUM(R10:R11)</f>
        <v>56</v>
      </c>
    </row>
    <row r="13" spans="2:18">
      <c r="B13" s="240" t="s">
        <v>365</v>
      </c>
      <c r="C13" s="253" t="s">
        <v>3916</v>
      </c>
      <c r="D13" s="251" cm="1">
        <f t="array" ref="D13">SUMPRODUCT(--(ISNUMBER(SEARCH("Belgium", 'Inventory - Public Private FMS'!$J$17:$J$1792))
* ((ISNUMBER(SEARCH("Fruits", 'Inventory - Public Private FMS'!$F$17:$F$1792)))
+ (ISNUMBER(SEARCH("All food commodities", 'Inventory - Public Private FMS'!$F$17:$F$1792))) &gt; 0)))</f>
        <v>11</v>
      </c>
      <c r="E13" s="251" cm="1">
        <f t="array" ref="E13">SUMPRODUCT(--(ISNUMBER(SEARCH("Belgium",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4</v>
      </c>
      <c r="F13" s="251" cm="1">
        <f t="array" ref="F13">SUMPRODUCT(--(ISNUMBER(SEARCH("Belgium",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14</v>
      </c>
      <c r="G13" s="251" cm="1">
        <f t="array" ref="G13">SUMPRODUCT(--(ISNUMBER(SEARCH("Belgium",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14</v>
      </c>
      <c r="H13" s="251" cm="1">
        <f t="array" ref="H13">SUMPRODUCT(--(ISNUMBER(SEARCH("Belgium",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26</v>
      </c>
      <c r="I13" s="251" cm="1">
        <f t="array" ref="I13">SUMPRODUCT(--(ISNUMBER(SEARCH("Belgium", 'Inventory - Public Private FMS'!$J$17:$J$1792))
* ((ISNUMBER(SEARCH("Eggs", 'Inventory - Public Private FMS'!$F$17:$F$1792)))
+ (ISNUMBER(SEARCH("All food commodities", 'Inventory - Public Private FMS'!$F$17:$F$1792))) &gt; 0)))</f>
        <v>2</v>
      </c>
      <c r="J13" s="251" cm="1">
        <f t="array" ref="J13">SUMPRODUCT(--(ISNUMBER(SEARCH("Belgium", 'Inventory - Public Private FMS'!$J$17:$J$1792))
* ((ISNUMBER(SEARCH("Fish", 'Inventory - Public Private FMS'!$F$17:$F$1792)))
+ (ISNUMBER(SEARCH("All food commodities", 'Inventory - Public Private FMS'!$F$17:$F$1792))) &gt; 0)))</f>
        <v>2</v>
      </c>
      <c r="K13" s="251" cm="1">
        <f t="array" ref="K13">SUMPRODUCT(--(ISNUMBER(SEARCH("Belgium", 'Inventory - Public Private FMS'!$J$17:$J$1792))
* ((ISNUMBER(SEARCH("Cereals", 'Inventory - Public Private FMS'!$F$17:$F$1792)))
+ (ISNUMBER(SEARCH("All food commodities", 'Inventory - Public Private FMS'!$F$17:$F$1792))) &gt; 0)))</f>
        <v>3</v>
      </c>
      <c r="L13" s="252"/>
      <c r="M13" s="251" cm="1">
        <f t="array" ref="M13">SUMPRODUCT(--(ISNUMBER(SEARCH("Belgium", 'Inventory - Public Private FMS'!$J$17:$J$1792))
* ((ISNUMBER(SEARCH("Primary Production", 'Inventory - Public Private FMS'!$N$17:$N$1792)))
+ (ISNUMBER(SEARCH("All Stages", 'Inventory - Public Private FMS'!$N$17:$N$1792))) &gt; 0)))</f>
        <v>28</v>
      </c>
      <c r="N13" s="251" cm="1">
        <f t="array" ref="N13">SUMPRODUCT(--(ISNUMBER(SEARCH("Belgium", 'Inventory - Public Private FMS'!$J$17:$J$1792))
* ((ISNUMBER(SEARCH("Processing &amp; Manufacturing", 'Inventory - Public Private FMS'!$N$17:$N$1792)))
+ (ISNUMBER(SEARCH("All Stages", 'Inventory - Public Private FMS'!$N$17:$N$1792))) &gt; 0)))</f>
        <v>13</v>
      </c>
      <c r="O13" s="251" cm="1">
        <f t="array" ref="O13">SUMPRODUCT(--(ISNUMBER(SEARCH("Belgium", 'Inventory - Public Private FMS'!$J$17:$J$1792))
* ((ISNUMBER(SEARCH("Retail", 'Inventory - Public Private FMS'!$N$17:$N$1792)))
+ (ISNUMBER(SEARCH("All Stages", 'Inventory - Public Private FMS'!$N$17:$N$1792))) &gt; 0)))</f>
        <v>3</v>
      </c>
      <c r="P13" s="251" cm="1">
        <f t="array" ref="P13">SUMPRODUCT(--(ISNUMBER(SEARCH("Belgium", 'Inventory - Public Private FMS'!$J$17:$J$1792))
* ((ISNUMBER(SEARCH("Food services", 'Inventory - Public Private FMS'!$N$17:$N$1792)))
+ (ISNUMBER(SEARCH("All Stages", 'Inventory - Public Private FMS'!$N$17:$N$1792))) &gt; 0)))</f>
        <v>1</v>
      </c>
      <c r="Q13" s="252"/>
      <c r="R13" s="254">
        <f>COUNTIF('Inventory - Public Private FMS'!$J$17:$J$1792, "*Belgium*")</f>
        <v>35</v>
      </c>
    </row>
    <row r="14" spans="2:18">
      <c r="B14" s="244"/>
      <c r="C14" s="126" t="s">
        <v>737</v>
      </c>
      <c r="D14" s="246" cm="1">
        <f t="array" ref="D14">SUMPRODUCT(--(ISNUMBER(SEARCH("Belgium",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4</v>
      </c>
      <c r="E14" s="247" cm="1">
        <f t="array" ref="E14">SUMPRODUCT(--(ISNUMBER(SEARCH("Belgium",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14" s="247" cm="1">
        <f t="array" ref="F14">SUMPRODUCT(--(ISNUMBER(SEARCH("Belgium",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2</v>
      </c>
      <c r="G14" s="247" cm="1">
        <f t="array" ref="G14">SUMPRODUCT(--(ISNUMBER(SEARCH("Belgium",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2</v>
      </c>
      <c r="H14" s="247" cm="1">
        <f t="array" ref="H14">SUMPRODUCT(--(ISNUMBER(SEARCH("Belgium",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v>
      </c>
      <c r="I14" s="247" cm="1">
        <f t="array" ref="I14">SUMPRODUCT(--(ISNUMBER(SEARCH("Belgium", 'Inventory - Public Private FMS'!$J$17:$J$1792))
* ISNUMBER(SEARCH("Public", 'Inventory - Public Private FMS'!$L$17:$L$1792))
* ((ISNUMBER(SEARCH("Eggs", 'Inventory - Public Private FMS'!$F$17:$F$1792)))
+ (ISNUMBER(SEARCH("All food commodities", 'Inventory - Public Private FMS'!$F$17:$F$1792))) &gt; 0)))</f>
        <v>1</v>
      </c>
      <c r="J14" s="247" cm="1">
        <f t="array" ref="J14">SUMPRODUCT(--(ISNUMBER(SEARCH("Belgium", 'Inventory - Public Private FMS'!$J$17:$J$1792))
* ISNUMBER(SEARCH("Public", 'Inventory - Public Private FMS'!$L$17:$L$1792))
* ((ISNUMBER(SEARCH("Fish", 'Inventory - Public Private FMS'!$F$17:$F$1792)))
+ (ISNUMBER(SEARCH("All food commodities", 'Inventory - Public Private FMS'!$F$17:$F$1792))) &gt; 0)))</f>
        <v>1</v>
      </c>
      <c r="K14" s="247" cm="1">
        <f t="array" ref="K14">SUMPRODUCT(--(ISNUMBER(SEARCH("Belgium", 'Inventory - Public Private FMS'!$J$17:$J$1792))
* ISNUMBER(SEARCH("Public", 'Inventory - Public Private FMS'!$L$17:$L$1792))
* ((ISNUMBER(SEARCH("Cereals", 'Inventory - Public Private FMS'!$F$17:$F$1792)))
+ (ISNUMBER(SEARCH("All food commodities", 'Inventory - Public Private FMS'!$F$17:$F$1792))) &gt; 0)))</f>
        <v>1</v>
      </c>
      <c r="L14" s="224"/>
      <c r="M14" s="247" cm="1">
        <f t="array" ref="M14">SUMPRODUCT(--(ISNUMBER(SEARCH("Belgium", 'Inventory - Public Private FMS'!$J$17:$J$1792))
* ISNUMBER(SEARCH("Public", 'Inventory - Public Private FMS'!$L$17:$L$1792))
* ((ISNUMBER(SEARCH("Primary Production", 'Inventory - Public Private FMS'!$N$17:$N$1792)))
+ (ISNUMBER(SEARCH("All Stages", 'Inventory - Public Private FMS'!$N$17:$N$1792))) &gt; 0)))</f>
        <v>4</v>
      </c>
      <c r="N14" s="247" cm="1">
        <f t="array" ref="N14">SUMPRODUCT(--(ISNUMBER(SEARCH("Belgium", 'Inventory - Public Private FMS'!$J$17:$J$1792))
* ISNUMBER(SEARCH("Public", 'Inventory - Public Private FMS'!$L$17:$L$1792))
* ((ISNUMBER(SEARCH("Processing &amp; Manufacturing", 'Inventory - Public Private FMS'!$N$17:$N$1792)))
+ (ISNUMBER(SEARCH("All Stages", 'Inventory - Public Private FMS'!$N$17:$N$1792))) &gt; 0)))</f>
        <v>4</v>
      </c>
      <c r="O14" s="247" cm="1">
        <f t="array" ref="O14">SUMPRODUCT(--(ISNUMBER(SEARCH("Belgium", 'Inventory - Public Private FMS'!$J$17:$J$1792))
* ISNUMBER(SEARCH("Public", 'Inventory - Public Private FMS'!$L$17:$L$1792))
* ((ISNUMBER(SEARCH("Retail", 'Inventory - Public Private FMS'!$N$17:$N$1792)))
+ (ISNUMBER(SEARCH("All Stages", 'Inventory - Public Private FMS'!$N$17:$N$1792))) &gt; 0)))</f>
        <v>2</v>
      </c>
      <c r="P14" s="247" cm="1">
        <f t="array" ref="P14">SUMPRODUCT(--(ISNUMBER(SEARCH("Belgium", 'Inventory - Public Private FMS'!$J$17:$J$1792))
* ISNUMBER(SEARCH("Public", 'Inventory - Public Private FMS'!$L$17:$L$1792))
* ((ISNUMBER(SEARCH("Food services", 'Inventory - Public Private FMS'!$N$17:$N$1792)))
+ (ISNUMBER(SEARCH("All Stages", 'Inventory - Public Private FMS'!$N$17:$N$1792))) &gt; 0)))</f>
        <v>0</v>
      </c>
      <c r="Q14" s="224"/>
      <c r="R14" s="255" cm="1">
        <f t="array" ref="R14">SUMPRODUCT(--(ISNUMBER(SEARCH("Belgium",'Inventory - Public Private FMS'!$J$17:$J$1792))
*(ISNUMBER(SEARCH("Public",'Inventory - Public Private FMS'!$L$17:$L$1792)))&gt;0))</f>
        <v>6</v>
      </c>
    </row>
    <row r="15" spans="2:18">
      <c r="B15" s="248"/>
      <c r="C15" s="126" t="s">
        <v>74</v>
      </c>
      <c r="D15" s="246" cm="1">
        <f t="array" ref="D15">SUMPRODUCT(--(ISNUMBER(SEARCH("Belgium",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7</v>
      </c>
      <c r="E15" s="247" cm="1">
        <f t="array" ref="E15">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3</v>
      </c>
      <c r="F15" s="247" cm="1">
        <f t="array" ref="F15">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12</v>
      </c>
      <c r="G15" s="247" cm="1">
        <f t="array" ref="G15">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12</v>
      </c>
      <c r="H15" s="247" cm="1">
        <f t="array" ref="H15">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23</v>
      </c>
      <c r="I15" s="247" cm="1">
        <f t="array" ref="I15">SUMPRODUCT(--(ISNUMBER(SEARCH("Belgium", 'Inventory - Public Private FMS'!$J$17:$J$1792))
* ISNUMBER(SEARCH("Private", 'Inventory - Public Private FMS'!$L$17:$L$1792))
* ((ISNUMBER(SEARCH("Eggs", 'Inventory - Public Private FMS'!$F$17:$F$1792)))
+ (ISNUMBER(SEARCH("All food commodities", 'Inventory - Public Private FMS'!$F$17:$F$1792))) &gt; 0)))</f>
        <v>1</v>
      </c>
      <c r="J15" s="247" cm="1">
        <f t="array" ref="J15">SUMPRODUCT(--(ISNUMBER(SEARCH("Belgium", 'Inventory - Public Private FMS'!$J$17:$J$1792))
* ISNUMBER(SEARCH("Private", 'Inventory - Public Private FMS'!$L$17:$L$1792))
* ((ISNUMBER(SEARCH("Fish", 'Inventory - Public Private FMS'!$F$17:$F$1792)))
+ (ISNUMBER(SEARCH("All food commodities", 'Inventory - Public Private FMS'!$F$17:$F$1792))) &gt; 0)))</f>
        <v>1</v>
      </c>
      <c r="K15" s="247" cm="1">
        <f t="array" ref="K15">SUMPRODUCT(--(ISNUMBER(SEARCH("Belgium", 'Inventory - Public Private FMS'!$J$17:$J$1792))
* ISNUMBER(SEARCH("Private", 'Inventory - Public Private FMS'!$L$17:$L$1792))
* ((ISNUMBER(SEARCH("Cereals", 'Inventory - Public Private FMS'!$F$17:$F$1792)))
+ (ISNUMBER(SEARCH("All food commodities", 'Inventory - Public Private FMS'!$F$17:$F$1792))) &gt; 0)))</f>
        <v>2</v>
      </c>
      <c r="L15" s="224"/>
      <c r="M15" s="247" cm="1">
        <f t="array" ref="M15">SUMPRODUCT(--(ISNUMBER(SEARCH("Belgium", 'Inventory - Public Private FMS'!$J$17:$J$1792))
* ISNUMBER(SEARCH("Private", 'Inventory - Public Private FMS'!$L$17:$L$1792))
* ((ISNUMBER(SEARCH("Primary Production", 'Inventory - Public Private FMS'!$N$17:$N$1792)))
+ (ISNUMBER(SEARCH("All Stages", 'Inventory - Public Private FMS'!$N$17:$N$1792))) &gt; 0)))</f>
        <v>24</v>
      </c>
      <c r="N15" s="247" cm="1">
        <f t="array" ref="N15">SUMPRODUCT(--(ISNUMBER(SEARCH("Belgium", 'Inventory - Public Private FMS'!$J$17:$J$1792))
* ISNUMBER(SEARCH("Private", 'Inventory - Public Private FMS'!$L$17:$L$1792))
* ((ISNUMBER(SEARCH("Processing &amp; Manufacturing", 'Inventory - Public Private FMS'!$N$17:$N$1792)))
+ (ISNUMBER(SEARCH("All Stages", 'Inventory - Public Private FMS'!$N$17:$N$1792))) &gt; 0)))</f>
        <v>9</v>
      </c>
      <c r="O15" s="247" cm="1">
        <f t="array" ref="O15">SUMPRODUCT(--(ISNUMBER(SEARCH("Belgium", 'Inventory - Public Private FMS'!$J$17:$J$1792))
* ISNUMBER(SEARCH("Private", 'Inventory - Public Private FMS'!$L$17:$L$1792))
* ((ISNUMBER(SEARCH("Retail", 'Inventory - Public Private FMS'!$N$17:$N$1792)))
+ (ISNUMBER(SEARCH("All Stages", 'Inventory - Public Private FMS'!$N$17:$N$1792))) &gt; 0)))</f>
        <v>1</v>
      </c>
      <c r="P15" s="247" cm="1">
        <f t="array" ref="P15">SUMPRODUCT(--(ISNUMBER(SEARCH("Belgium", 'Inventory - Public Private FMS'!$J$17:$J$1792))
* ISNUMBER(SEARCH("Private", 'Inventory - Public Private FMS'!$L$17:$L$1792))
* ((ISNUMBER(SEARCH("Food services", 'Inventory - Public Private FMS'!$N$17:$N$1792)))
+ (ISNUMBER(SEARCH("All Stages", 'Inventory - Public Private FMS'!$N$17:$N$1792))) &gt; 0)))</f>
        <v>1</v>
      </c>
      <c r="Q15" s="224"/>
      <c r="R15" s="255" cm="1">
        <f t="array" ref="R15">SUMPRODUCT(--(ISNUMBER(SEARCH("Belgium",'Inventory - Public Private FMS'!$J$17:$J$1792))
*(ISNUMBER(SEARCH("Private",'Inventory - Public Private FMS'!$L$17:$L$1792)))&gt;0))</f>
        <v>29</v>
      </c>
    </row>
    <row r="16" spans="2:18">
      <c r="B16" s="256"/>
      <c r="C16" s="249" t="s">
        <v>3941</v>
      </c>
      <c r="D16" s="246">
        <f t="shared" ref="D16:K16" si="2">SUM(D14:D15)</f>
        <v>11</v>
      </c>
      <c r="E16" s="246">
        <f t="shared" si="2"/>
        <v>4</v>
      </c>
      <c r="F16" s="246">
        <f t="shared" si="2"/>
        <v>14</v>
      </c>
      <c r="G16" s="246">
        <f t="shared" si="2"/>
        <v>14</v>
      </c>
      <c r="H16" s="246">
        <f t="shared" si="2"/>
        <v>26</v>
      </c>
      <c r="I16" s="246">
        <f t="shared" si="2"/>
        <v>2</v>
      </c>
      <c r="J16" s="246">
        <f t="shared" si="2"/>
        <v>2</v>
      </c>
      <c r="K16" s="246">
        <f t="shared" si="2"/>
        <v>3</v>
      </c>
      <c r="L16" s="224"/>
      <c r="M16" s="246">
        <f>SUM(M14:M15)</f>
        <v>28</v>
      </c>
      <c r="N16" s="246">
        <f>SUM(N14:N15)</f>
        <v>13</v>
      </c>
      <c r="O16" s="246">
        <f>SUM(O14:O15)</f>
        <v>3</v>
      </c>
      <c r="P16" s="246">
        <f>SUM(P14:P15)</f>
        <v>1</v>
      </c>
      <c r="Q16" s="224"/>
      <c r="R16" s="246">
        <f>SUM(R14:R15)</f>
        <v>35</v>
      </c>
    </row>
    <row r="17" spans="2:18">
      <c r="B17" s="240" t="s">
        <v>2827</v>
      </c>
      <c r="C17" s="253" t="s">
        <v>3916</v>
      </c>
      <c r="D17" s="242" cm="1">
        <f t="array" ref="D17">SUMPRODUCT(--(ISNUMBER(SEARCH("Bulgaria", 'Inventory - Public Private FMS'!$J$17:$J$1792))
* ((ISNUMBER(SEARCH("Fruits", 'Inventory - Public Private FMS'!$F$17:$F$1792)))
+ (ISNUMBER(SEARCH("Vegetables", 'Inventory - Public Private FMS'!$F$17:$F$1792)))
+ (ISNUMBER(SEARCH("All food commodities", 'Inventory - Public Private FMS'!$F$17:$F$1792))) &gt; 0)))</f>
        <v>22</v>
      </c>
      <c r="E17" s="242" cm="1">
        <f t="array" ref="E17">SUMPRODUCT(--(ISNUMBER(SEARCH("Bulgaria",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11</v>
      </c>
      <c r="F17" s="242" cm="1">
        <f t="array" ref="F17">SUMPRODUCT(--(ISNUMBER(SEARCH("Bulgaria",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12</v>
      </c>
      <c r="G17" s="242" cm="1">
        <f t="array" ref="G17">SUMPRODUCT(--(ISNUMBER(SEARCH("Bulgaria",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11</v>
      </c>
      <c r="H17" s="242" cm="1">
        <f t="array" ref="H17">SUMPRODUCT(--(ISNUMBER(SEARCH("Bulgaria",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15</v>
      </c>
      <c r="I17" s="242" cm="1">
        <f t="array" ref="I17">SUMPRODUCT(--(ISNUMBER(SEARCH("Bulgaria", 'Inventory - Public Private FMS'!$J$17:$J$1792))
* ((ISNUMBER(SEARCH("Eggs", 'Inventory - Public Private FMS'!$F$17:$F$1792)))
+ (ISNUMBER(SEARCH("All food commodities", 'Inventory - Public Private FMS'!$F$17:$F$1792))) &gt; 0)))</f>
        <v>11</v>
      </c>
      <c r="J17" s="242" cm="1">
        <f t="array" ref="J17">SUMPRODUCT(--(ISNUMBER(SEARCH("Bulgaria", 'Inventory - Public Private FMS'!$J$17:$J$1792))
* ((ISNUMBER(SEARCH("Fish", 'Inventory - Public Private FMS'!$F$17:$F$1792)))
+ (ISNUMBER(SEARCH("All food commodities", 'Inventory - Public Private FMS'!$F$17:$F$1792))) &gt; 0)))</f>
        <v>13</v>
      </c>
      <c r="K17" s="242" cm="1">
        <f t="array" ref="K17">SUMPRODUCT(--(ISNUMBER(SEARCH("Bulgaria", 'Inventory - Public Private FMS'!$J$17:$J$1792))
* ((ISNUMBER(SEARCH("Cereals", 'Inventory - Public Private FMS'!$F$17:$F$1792)))
+ (ISNUMBER(SEARCH("All food commodities", 'Inventory - Public Private FMS'!$F$17:$F$1792))) &gt; 0)))</f>
        <v>33</v>
      </c>
      <c r="L17" s="221"/>
      <c r="M17" s="242" cm="1">
        <f t="array" ref="M17">SUMPRODUCT(--(ISNUMBER(SEARCH("Bulgaria", 'Inventory - Public Private FMS'!$J$17:$J$1792))
* ((ISNUMBER(SEARCH("Primary Production", 'Inventory - Public Private FMS'!$N$17:$N$1792)))
+ (ISNUMBER(SEARCH("All Stages", 'Inventory - Public Private FMS'!$N$17:$N$1792))) &gt; 0)))</f>
        <v>18</v>
      </c>
      <c r="N17" s="242" cm="1">
        <f t="array" ref="N17">SUMPRODUCT(--(ISNUMBER(SEARCH("Bulgaria", 'Inventory - Public Private FMS'!$J$17:$J$1792))
* ((ISNUMBER(SEARCH("Processing &amp; Manufacturing", 'Inventory - Public Private FMS'!$N$17:$N$1792)))
+ (ISNUMBER(SEARCH("All Stages", 'Inventory - Public Private FMS'!$N$17:$N$1792))) &gt; 0)))</f>
        <v>39</v>
      </c>
      <c r="O17" s="242" cm="1">
        <f t="array" ref="O17">SUMPRODUCT(--(ISNUMBER(SEARCH("Bulgaria", 'Inventory - Public Private FMS'!$J$17:$J$1792))
* ((ISNUMBER(SEARCH("Retail", 'Inventory - Public Private FMS'!$N$17:$N$1792)))
+ (ISNUMBER(SEARCH("All Stages", 'Inventory - Public Private FMS'!$N$17:$N$1792))) &gt; 0)))</f>
        <v>16</v>
      </c>
      <c r="P17" s="242" cm="1">
        <f t="array" ref="P17">SUMPRODUCT(--(ISNUMBER(SEARCH("Bulgaria", 'Inventory - Public Private FMS'!$J$17:$J$1792))
* ((ISNUMBER(SEARCH("Food services", 'Inventory - Public Private FMS'!$N$17:$N$1792)))
+ (ISNUMBER(SEARCH("All Stages", 'Inventory - Public Private FMS'!$N$17:$N$1792))) &gt; 0)))</f>
        <v>0</v>
      </c>
      <c r="Q17" s="221"/>
      <c r="R17" s="243">
        <f>COUNTIF('Inventory - Public Private FMS'!$J$17:$J$1792, "*Bulgaria*")</f>
        <v>66</v>
      </c>
    </row>
    <row r="18" spans="2:18">
      <c r="B18" s="244"/>
      <c r="C18" s="126" t="s">
        <v>737</v>
      </c>
      <c r="D18" s="246" cm="1">
        <f t="array" ref="D18">SUMPRODUCT(--(ISNUMBER(SEARCH("Bulgaria",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22</v>
      </c>
      <c r="E18" s="247" cm="1">
        <f t="array" ref="E18">SUMPRODUCT(--(ISNUMBER(SEARCH("Bulgaria",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11</v>
      </c>
      <c r="F18" s="247" cm="1">
        <f t="array" ref="F18">SUMPRODUCT(--(ISNUMBER(SEARCH("Bulgaria",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12</v>
      </c>
      <c r="G18" s="247" cm="1">
        <f t="array" ref="G18">SUMPRODUCT(--(ISNUMBER(SEARCH("Bulgaria",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11</v>
      </c>
      <c r="H18" s="247" cm="1">
        <f t="array" ref="H18">SUMPRODUCT(--(ISNUMBER(SEARCH("Bulgaria",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15</v>
      </c>
      <c r="I18" s="247" cm="1">
        <f t="array" ref="I18">SUMPRODUCT(--(ISNUMBER(SEARCH("Bulgaria", 'Inventory - Public Private FMS'!$J$17:$J$1792))
* ISNUMBER(SEARCH("Public", 'Inventory - Public Private FMS'!$L$17:$L$1792))
* ((ISNUMBER(SEARCH("Eggs", 'Inventory - Public Private FMS'!$F$17:$F$1792)))
+ (ISNUMBER(SEARCH("All food commodities", 'Inventory - Public Private FMS'!$F$17:$F$1792))) &gt; 0)))</f>
        <v>11</v>
      </c>
      <c r="J18" s="247" cm="1">
        <f t="array" ref="J18">SUMPRODUCT(--(ISNUMBER(SEARCH("Bulgaria", 'Inventory - Public Private FMS'!$J$17:$J$1792))
* ISNUMBER(SEARCH("Public", 'Inventory - Public Private FMS'!$L$17:$L$1792))
* ((ISNUMBER(SEARCH("Fish", 'Inventory - Public Private FMS'!$F$17:$F$1792)))
+ (ISNUMBER(SEARCH("All food commodities", 'Inventory - Public Private FMS'!$F$17:$F$1792))) &gt; 0)))</f>
        <v>13</v>
      </c>
      <c r="K18" s="247" cm="1">
        <f t="array" ref="K18">SUMPRODUCT(--(ISNUMBER(SEARCH("Bulgaria", 'Inventory - Public Private FMS'!$J$17:$J$1792))
* ISNUMBER(SEARCH("Public", 'Inventory - Public Private FMS'!$L$17:$L$1792))
* ((ISNUMBER(SEARCH("Cereals", 'Inventory - Public Private FMS'!$F$17:$F$1792)))
+ (ISNUMBER(SEARCH("All food commodities", 'Inventory - Public Private FMS'!$F$17:$F$1792))) &gt; 0)))</f>
        <v>33</v>
      </c>
      <c r="L18" s="224"/>
      <c r="M18" s="247" cm="1">
        <f t="array" ref="M18">SUMPRODUCT(--(ISNUMBER(SEARCH("Bulgaria", 'Inventory - Public Private FMS'!$J$17:$J$1792))
* ISNUMBER(SEARCH("Public", 'Inventory - Public Private FMS'!$L$17:$L$1792))
* ((ISNUMBER(SEARCH("Primary Production", 'Inventory - Public Private FMS'!$N$17:$N$1792)))
+ (ISNUMBER(SEARCH("All Stages", 'Inventory - Public Private FMS'!$N$17:$N$1792))) &gt; 0)))</f>
        <v>18</v>
      </c>
      <c r="N18" s="247" cm="1">
        <f t="array" ref="N18">SUMPRODUCT(--(ISNUMBER(SEARCH("Bulgaria", 'Inventory - Public Private FMS'!$J$17:$J$1792))
* ISNUMBER(SEARCH("Public", 'Inventory - Public Private FMS'!$L$17:$L$1792))
* ((ISNUMBER(SEARCH("Processing &amp; Manufacturing", 'Inventory - Public Private FMS'!$N$17:$N$1792)))
+ (ISNUMBER(SEARCH("All Stages", 'Inventory - Public Private FMS'!$N$17:$N$1792))) &gt; 0)))</f>
        <v>39</v>
      </c>
      <c r="O18" s="247" cm="1">
        <f t="array" ref="O18">SUMPRODUCT(--(ISNUMBER(SEARCH("Bulgaria", 'Inventory - Public Private FMS'!$J$17:$J$1792))
* ISNUMBER(SEARCH("Public", 'Inventory - Public Private FMS'!$L$17:$L$1792))
* ((ISNUMBER(SEARCH("Retail", 'Inventory - Public Private FMS'!$N$17:$N$1792)))
+ (ISNUMBER(SEARCH("All Stages", 'Inventory - Public Private FMS'!$N$17:$N$1792))) &gt; 0)))</f>
        <v>16</v>
      </c>
      <c r="P18" s="247" cm="1">
        <f t="array" ref="P18">SUMPRODUCT(--(ISNUMBER(SEARCH("Bulgaria", 'Inventory - Public Private FMS'!$J$17:$J$1792))
* ISNUMBER(SEARCH("Public", 'Inventory - Public Private FMS'!$L$17:$L$1792))
* ((ISNUMBER(SEARCH("Food services", 'Inventory - Public Private FMS'!$N$17:$N$1792)))
+ (ISNUMBER(SEARCH("All Stages", 'Inventory - Public Private FMS'!$N$17:$N$1792))) &gt; 0)))</f>
        <v>0</v>
      </c>
      <c r="Q18" s="224"/>
      <c r="R18" s="246" cm="1">
        <f t="array" ref="R18">SUMPRODUCT(--(ISNUMBER(SEARCH("Bulgaria",'Inventory - Public Private FMS'!$J$17:$J$1792))
*(ISNUMBER(SEARCH("Public",'Inventory - Public Private FMS'!$L$17:$L$1792)))&gt;0))</f>
        <v>66</v>
      </c>
    </row>
    <row r="19" spans="2:18">
      <c r="B19" s="248"/>
      <c r="C19" s="126" t="s">
        <v>74</v>
      </c>
      <c r="D19" s="246" cm="1">
        <f t="array" ref="D19">SUMPRODUCT(--(ISNUMBER(SEARCH("Bulgaria",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19" s="247" cm="1">
        <f t="array" ref="E19">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19" s="247" cm="1">
        <f t="array" ref="F19">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19" s="247" cm="1">
        <f t="array" ref="G19">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19" s="247" cm="1">
        <f t="array" ref="H19">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19" s="247" cm="1">
        <f t="array" ref="I19">SUMPRODUCT(--(ISNUMBER(SEARCH("Bulgaria", 'Inventory - Public Private FMS'!$J$17:$J$1792))
* ISNUMBER(SEARCH("Private", 'Inventory - Public Private FMS'!$L$17:$L$1792))
* ((ISNUMBER(SEARCH("Eggs", 'Inventory - Public Private FMS'!$F$17:$F$1792)))
+ (ISNUMBER(SEARCH("All food commodities", 'Inventory - Public Private FMS'!$F$17:$F$1792))) &gt; 0)))</f>
        <v>0</v>
      </c>
      <c r="J19" s="247" cm="1">
        <f t="array" ref="J19">SUMPRODUCT(--(ISNUMBER(SEARCH("Bulgaria", 'Inventory - Public Private FMS'!$J$17:$J$1792))
* ISNUMBER(SEARCH("Private", 'Inventory - Public Private FMS'!$L$17:$L$1792))
* ((ISNUMBER(SEARCH("Fish", 'Inventory - Public Private FMS'!$F$17:$F$1792)))
+ (ISNUMBER(SEARCH("All food commodities", 'Inventory - Public Private FMS'!$F$17:$F$1792))) &gt; 0)))</f>
        <v>0</v>
      </c>
      <c r="K19" s="247" cm="1">
        <f t="array" ref="K19">SUMPRODUCT(--(ISNUMBER(SEARCH("Bulgaria", 'Inventory - Public Private FMS'!$J$17:$J$1792))
* ISNUMBER(SEARCH("Private", 'Inventory - Public Private FMS'!$L$17:$L$1792))
* ((ISNUMBER(SEARCH("Cereals", 'Inventory - Public Private FMS'!$F$17:$F$1792)))
+ (ISNUMBER(SEARCH("All food commodities", 'Inventory - Public Private FMS'!$F$17:$F$1792))) &gt; 0)))</f>
        <v>0</v>
      </c>
      <c r="L19" s="224"/>
      <c r="M19" s="247" cm="1">
        <f t="array" ref="M19">SUMPRODUCT(--(ISNUMBER(SEARCH("Bulgaria", 'Inventory - Public Private FMS'!$J$17:$J$1792))
* ISNUMBER(SEARCH("Private", 'Inventory - Public Private FMS'!$L$17:$L$1792))
* ((ISNUMBER(SEARCH("Primary Production", 'Inventory - Public Private FMS'!$N$17:$N$1792)))
+ (ISNUMBER(SEARCH("All Stages", 'Inventory - Public Private FMS'!$N$17:$N$1792))) &gt; 0)))</f>
        <v>0</v>
      </c>
      <c r="N19" s="247" cm="1">
        <f t="array" ref="N19">SUMPRODUCT(--(ISNUMBER(SEARCH("Bulgaria", 'Inventory - Public Private FMS'!$J$17:$J$1792))
* ISNUMBER(SEARCH("Private", 'Inventory - Public Private FMS'!$L$17:$L$1792))
* ((ISNUMBER(SEARCH("Processing &amp; Manufacturing", 'Inventory - Public Private FMS'!$N$17:$N$1792)))
+ (ISNUMBER(SEARCH("All Stages", 'Inventory - Public Private FMS'!$N$17:$N$1792))) &gt; 0)))</f>
        <v>0</v>
      </c>
      <c r="O19" s="247" cm="1">
        <f t="array" ref="O19">SUMPRODUCT(--(ISNUMBER(SEARCH("Bulgaria", 'Inventory - Public Private FMS'!$J$17:$J$1792))
* ISNUMBER(SEARCH("Private", 'Inventory - Public Private FMS'!$L$17:$L$1792))
* ((ISNUMBER(SEARCH("Retail", 'Inventory - Public Private FMS'!$N$17:$N$1792)))
+ (ISNUMBER(SEARCH("All Stages", 'Inventory - Public Private FMS'!$N$17:$N$1792))) &gt; 0)))</f>
        <v>0</v>
      </c>
      <c r="P19" s="247" cm="1">
        <f t="array" ref="P19">SUMPRODUCT(--(ISNUMBER(SEARCH("Bulgaria", 'Inventory - Public Private FMS'!$J$17:$J$1792))
* ISNUMBER(SEARCH("Private", 'Inventory - Public Private FMS'!$L$17:$L$1792))
* ((ISNUMBER(SEARCH("Food services", 'Inventory - Public Private FMS'!$N$17:$N$1792)))
+ (ISNUMBER(SEARCH("All Stages", 'Inventory - Public Private FMS'!$N$17:$N$1792))) &gt; 0)))</f>
        <v>0</v>
      </c>
      <c r="Q19" s="224"/>
      <c r="R19" s="246" cm="1">
        <f t="array" ref="R19">SUMPRODUCT(--(ISNUMBER(SEARCH("Bulgaria",'Inventory - Public Private FMS'!$J$17:$J$1792))
*(ISNUMBER(SEARCH("Private",'Inventory - Public Private FMS'!$L$17:$L$1792)))&gt;0))</f>
        <v>0</v>
      </c>
    </row>
    <row r="20" spans="2:18">
      <c r="B20" s="248"/>
      <c r="C20" s="249" t="s">
        <v>3941</v>
      </c>
      <c r="D20" s="246">
        <f t="shared" ref="D20:K20" si="3">SUM(D18:D19)</f>
        <v>22</v>
      </c>
      <c r="E20" s="246">
        <f t="shared" si="3"/>
        <v>11</v>
      </c>
      <c r="F20" s="246">
        <f t="shared" si="3"/>
        <v>12</v>
      </c>
      <c r="G20" s="246">
        <f t="shared" si="3"/>
        <v>11</v>
      </c>
      <c r="H20" s="246">
        <f t="shared" si="3"/>
        <v>15</v>
      </c>
      <c r="I20" s="246">
        <f t="shared" si="3"/>
        <v>11</v>
      </c>
      <c r="J20" s="246">
        <f t="shared" si="3"/>
        <v>13</v>
      </c>
      <c r="K20" s="246">
        <f t="shared" si="3"/>
        <v>33</v>
      </c>
      <c r="L20" s="224"/>
      <c r="M20" s="246">
        <f>SUM(M18:M19)</f>
        <v>18</v>
      </c>
      <c r="N20" s="246">
        <f>SUM(N18:N19)</f>
        <v>39</v>
      </c>
      <c r="O20" s="246">
        <f>SUM(O18:O19)</f>
        <v>16</v>
      </c>
      <c r="P20" s="246">
        <f>SUM(P18:P19)</f>
        <v>0</v>
      </c>
      <c r="Q20" s="224"/>
      <c r="R20" s="246">
        <f>SUM(R18:R19)</f>
        <v>66</v>
      </c>
    </row>
    <row r="21" spans="2:18">
      <c r="B21" s="240" t="s">
        <v>3117</v>
      </c>
      <c r="C21" s="253" t="s">
        <v>3916</v>
      </c>
      <c r="D21" s="242" cm="1">
        <f t="array" ref="D21">SUMPRODUCT(--(ISNUMBER(SEARCH("Croatia", 'Inventory - Public Private FMS'!$J$17:$J$1792))
* ((ISNUMBER(SEARCH("Fruits", 'Inventory - Public Private FMS'!$F$17:$F$1792)))
+ (ISNUMBER(SEARCH("Vegetables", 'Inventory - Public Private FMS'!$F$17:$F$1792)))
+ (ISNUMBER(SEARCH("All food commodities", 'Inventory - Public Private FMS'!$F$17:$F$1792))) &gt; 0)))</f>
        <v>9</v>
      </c>
      <c r="E21" s="242" cm="1">
        <f t="array" ref="E21">SUMPRODUCT(--(ISNUMBER(SEARCH("Croatia",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4</v>
      </c>
      <c r="F21" s="242" cm="1">
        <f t="array" ref="F21">SUMPRODUCT(--(ISNUMBER(SEARCH("Croatia",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5</v>
      </c>
      <c r="G21" s="242" cm="1">
        <f t="array" ref="G21">SUMPRODUCT(--(ISNUMBER(SEARCH("Croatia",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13</v>
      </c>
      <c r="H21" s="242" cm="1">
        <f t="array" ref="H21">SUMPRODUCT(--(ISNUMBER(SEARCH("Croatia",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14</v>
      </c>
      <c r="I21" s="242" cm="1">
        <f t="array" ref="I21">SUMPRODUCT(--(ISNUMBER(SEARCH("Croatia", 'Inventory - Public Private FMS'!$J$17:$J$1792))
* ((ISNUMBER(SEARCH("Eggs", 'Inventory - Public Private FMS'!$F$17:$F$1792)))
+ (ISNUMBER(SEARCH("All food commodities", 'Inventory - Public Private FMS'!$F$17:$F$1792))) &gt; 0)))</f>
        <v>3</v>
      </c>
      <c r="J21" s="242" cm="1">
        <f t="array" ref="J21">SUMPRODUCT(--(ISNUMBER(SEARCH("Croatia", 'Inventory - Public Private FMS'!$J$17:$J$1792))
* ((ISNUMBER(SEARCH("Fish", 'Inventory - Public Private FMS'!$F$17:$F$1792)))
+ (ISNUMBER(SEARCH("All food commodities", 'Inventory - Public Private FMS'!$F$17:$F$1792))) &gt; 0)))</f>
        <v>3</v>
      </c>
      <c r="K21" s="242" cm="1">
        <f t="array" ref="K21">SUMPRODUCT(--(ISNUMBER(SEARCH("Croatia", 'Inventory - Public Private FMS'!$J$17:$J$1792))
* ((ISNUMBER(SEARCH("Cereals", 'Inventory - Public Private FMS'!$F$17:$F$1792)))
+ (ISNUMBER(SEARCH("All food commodities", 'Inventory - Public Private FMS'!$F$17:$F$1792))) &gt; 0)))</f>
        <v>4</v>
      </c>
      <c r="L21" s="221"/>
      <c r="M21" s="242" cm="1">
        <f t="array" ref="M21">SUMPRODUCT(--(ISNUMBER(SEARCH("Croatia", 'Inventory - Public Private FMS'!$J$17:$J$1792))
* ((ISNUMBER(SEARCH("Primary Production", 'Inventory - Public Private FMS'!$N$17:$N$1792)))
+ (ISNUMBER(SEARCH("All Stages", 'Inventory - Public Private FMS'!$N$17:$N$1792))) &gt; 0)))</f>
        <v>16</v>
      </c>
      <c r="N21" s="242" cm="1">
        <f t="array" ref="N21">SUMPRODUCT(--(ISNUMBER(SEARCH("Croatia", 'Inventory - Public Private FMS'!$J$17:$J$1792))
* ((ISNUMBER(SEARCH("Processing &amp; Manufacturing", 'Inventory - Public Private FMS'!$N$17:$N$1792)))
+ (ISNUMBER(SEARCH("All Stages", 'Inventory - Public Private FMS'!$N$17:$N$1792))) &gt; 0)))</f>
        <v>19</v>
      </c>
      <c r="O21" s="242" cm="1">
        <f t="array" ref="O21">SUMPRODUCT(--(ISNUMBER(SEARCH("Croatia", 'Inventory - Public Private FMS'!$J$17:$J$1792))
* ((ISNUMBER(SEARCH("Retail", 'Inventory - Public Private FMS'!$N$17:$N$1792)))
+ (ISNUMBER(SEARCH("All Stages", 'Inventory - Public Private FMS'!$N$17:$N$1792))) &gt; 0)))</f>
        <v>0</v>
      </c>
      <c r="P21" s="242" cm="1">
        <f t="array" ref="P21">SUMPRODUCT(--(ISNUMBER(SEARCH("Croatia", 'Inventory - Public Private FMS'!$J$17:$J$1792))
* ((ISNUMBER(SEARCH("Food services", 'Inventory - Public Private FMS'!$N$17:$N$1792)))
+ (ISNUMBER(SEARCH("All Stages", 'Inventory - Public Private FMS'!$N$17:$N$1792))) &gt; 0)))</f>
        <v>0</v>
      </c>
      <c r="Q21" s="221"/>
      <c r="R21" s="243">
        <f>COUNTIF('Inventory - Public Private FMS'!$J$17:$J$1792, "*Croatia*")</f>
        <v>21</v>
      </c>
    </row>
    <row r="22" spans="2:18">
      <c r="B22" s="244"/>
      <c r="C22" s="126" t="s">
        <v>737</v>
      </c>
      <c r="D22" s="246" cm="1">
        <f t="array" ref="D22">SUMPRODUCT(--(ISNUMBER(SEARCH("Croatia",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9</v>
      </c>
      <c r="E22" s="247" cm="1">
        <f t="array" ref="E22">SUMPRODUCT(--(ISNUMBER(SEARCH("Croatia",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4</v>
      </c>
      <c r="F22" s="247" cm="1">
        <f t="array" ref="F22">SUMPRODUCT(--(ISNUMBER(SEARCH("Croatia",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5</v>
      </c>
      <c r="G22" s="247" cm="1">
        <f t="array" ref="G22">SUMPRODUCT(--(ISNUMBER(SEARCH("Croatia",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13</v>
      </c>
      <c r="H22" s="247" cm="1">
        <f t="array" ref="H22">SUMPRODUCT(--(ISNUMBER(SEARCH("Croatia",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14</v>
      </c>
      <c r="I22" s="247" cm="1">
        <f t="array" ref="I22">SUMPRODUCT(--(ISNUMBER(SEARCH("Croatia", 'Inventory - Public Private FMS'!$J$17:$J$1792))
* ISNUMBER(SEARCH("Public", 'Inventory - Public Private FMS'!$L$17:$L$1792))
* ((ISNUMBER(SEARCH("Eggs", 'Inventory - Public Private FMS'!$F$17:$F$1792)))
+ (ISNUMBER(SEARCH("All food commodities", 'Inventory - Public Private FMS'!$F$17:$F$1792))) &gt; 0)))</f>
        <v>3</v>
      </c>
      <c r="J22" s="247" cm="1">
        <f t="array" ref="J22">SUMPRODUCT(--(ISNUMBER(SEARCH("Croatia", 'Inventory - Public Private FMS'!$J$17:$J$1792))
* ISNUMBER(SEARCH("Public", 'Inventory - Public Private FMS'!$L$17:$L$1792))
* ((ISNUMBER(SEARCH("Fish", 'Inventory - Public Private FMS'!$F$17:$F$1792)))
+ (ISNUMBER(SEARCH("All food commodities", 'Inventory - Public Private FMS'!$F$17:$F$1792))) &gt; 0)))</f>
        <v>3</v>
      </c>
      <c r="K22" s="247" cm="1">
        <f t="array" ref="K22">SUMPRODUCT(--(ISNUMBER(SEARCH("Croatia", 'Inventory - Public Private FMS'!$J$17:$J$1792))
* ISNUMBER(SEARCH("Public", 'Inventory - Public Private FMS'!$L$17:$L$1792))
* ((ISNUMBER(SEARCH("Cereals", 'Inventory - Public Private FMS'!$F$17:$F$1792)))
+ (ISNUMBER(SEARCH("All food commodities", 'Inventory - Public Private FMS'!$F$17:$F$1792))) &gt; 0)))</f>
        <v>4</v>
      </c>
      <c r="L22" s="224"/>
      <c r="M22" s="247" cm="1">
        <f t="array" ref="M22">SUMPRODUCT(--(ISNUMBER(SEARCH("Croatia", 'Inventory - Public Private FMS'!$J$17:$J$1792))
* ISNUMBER(SEARCH("Public", 'Inventory - Public Private FMS'!$L$17:$L$1792))
* ((ISNUMBER(SEARCH("Primary Production", 'Inventory - Public Private FMS'!$N$17:$N$1792)))
+ (ISNUMBER(SEARCH("All Stages", 'Inventory - Public Private FMS'!$N$17:$N$1792))) &gt; 0)))</f>
        <v>16</v>
      </c>
      <c r="N22" s="247" cm="1">
        <f t="array" ref="N22">SUMPRODUCT(--(ISNUMBER(SEARCH("Croatia", 'Inventory - Public Private FMS'!$J$17:$J$1792))
* ISNUMBER(SEARCH("Public", 'Inventory - Public Private FMS'!$L$17:$L$1792))
* ((ISNUMBER(SEARCH("Processing &amp; Manufacturing", 'Inventory - Public Private FMS'!$N$17:$N$1792)))
+ (ISNUMBER(SEARCH("All Stages", 'Inventory - Public Private FMS'!$N$17:$N$1792))) &gt; 0)))</f>
        <v>19</v>
      </c>
      <c r="O22" s="247" cm="1">
        <f t="array" ref="O22">SUMPRODUCT(--(ISNUMBER(SEARCH("Croatia", 'Inventory - Public Private FMS'!$J$17:$J$1792))
* ISNUMBER(SEARCH("Public", 'Inventory - Public Private FMS'!$L$17:$L$1792))
* ((ISNUMBER(SEARCH("Retail", 'Inventory - Public Private FMS'!$N$17:$N$1792)))
+ (ISNUMBER(SEARCH("All Stages", 'Inventory - Public Private FMS'!$N$17:$N$1792))) &gt; 0)))</f>
        <v>0</v>
      </c>
      <c r="P22" s="247" cm="1">
        <f t="array" ref="P22">SUMPRODUCT(--(ISNUMBER(SEARCH("Croatia", 'Inventory - Public Private FMS'!$J$17:$J$1792))
* ISNUMBER(SEARCH("Public", 'Inventory - Public Private FMS'!$L$17:$L$1792))
* ((ISNUMBER(SEARCH("Food services", 'Inventory - Public Private FMS'!$N$17:$N$1792)))
+ (ISNUMBER(SEARCH("All Stages", 'Inventory - Public Private FMS'!$N$17:$N$1792))) &gt; 0)))</f>
        <v>0</v>
      </c>
      <c r="Q22" s="224"/>
      <c r="R22" s="246" cm="1">
        <f t="array" ref="R22">SUMPRODUCT(--(ISNUMBER(SEARCH("Croatia",'Inventory - Public Private FMS'!$J$17:$J$1792))
*(ISNUMBER(SEARCH("Public",'Inventory - Public Private FMS'!$L$17:$L$1792)))&gt;0))</f>
        <v>21</v>
      </c>
    </row>
    <row r="23" spans="2:18">
      <c r="B23" s="248"/>
      <c r="C23" s="126" t="s">
        <v>74</v>
      </c>
      <c r="D23" s="246" cm="1">
        <f t="array" ref="D23">SUMPRODUCT(--(ISNUMBER(SEARCH("Croatia",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23" s="247" cm="1">
        <f t="array" ref="E23">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23" s="247" cm="1">
        <f t="array" ref="F23">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23" s="247" cm="1">
        <f t="array" ref="G23">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23" s="247" cm="1">
        <f t="array" ref="H23">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23" s="247" cm="1">
        <f t="array" ref="I23">SUMPRODUCT(--(ISNUMBER(SEARCH("Croatia", 'Inventory - Public Private FMS'!$J$17:$J$1792))
* ISNUMBER(SEARCH("Private", 'Inventory - Public Private FMS'!$L$17:$L$1792))
* ((ISNUMBER(SEARCH("Eggs", 'Inventory - Public Private FMS'!$F$17:$F$1792)))
+ (ISNUMBER(SEARCH("All food commodities", 'Inventory - Public Private FMS'!$F$17:$F$1792))) &gt; 0)))</f>
        <v>0</v>
      </c>
      <c r="J23" s="247" cm="1">
        <f t="array" ref="J23">SUMPRODUCT(--(ISNUMBER(SEARCH("Croatia", 'Inventory - Public Private FMS'!$J$17:$J$1792))
* ISNUMBER(SEARCH("Private", 'Inventory - Public Private FMS'!$L$17:$L$1792))
* ((ISNUMBER(SEARCH("Fish", 'Inventory - Public Private FMS'!$F$17:$F$1792)))
+ (ISNUMBER(SEARCH("All food commodities", 'Inventory - Public Private FMS'!$F$17:$F$1792))) &gt; 0)))</f>
        <v>0</v>
      </c>
      <c r="K23" s="247" cm="1">
        <f t="array" ref="K23">SUMPRODUCT(--(ISNUMBER(SEARCH("Croatia", 'Inventory - Public Private FMS'!$J$17:$J$1792))
* ISNUMBER(SEARCH("Private", 'Inventory - Public Private FMS'!$L$17:$L$1792))
* ((ISNUMBER(SEARCH("Cereals", 'Inventory - Public Private FMS'!$F$17:$F$1792)))
+ (ISNUMBER(SEARCH("All food commodities", 'Inventory - Public Private FMS'!$F$17:$F$1792))) &gt; 0)))</f>
        <v>0</v>
      </c>
      <c r="L23" s="224"/>
      <c r="M23" s="247" cm="1">
        <f t="array" ref="M23">SUMPRODUCT(--(ISNUMBER(SEARCH("Croatia", 'Inventory - Public Private FMS'!$J$17:$J$1792))
* ISNUMBER(SEARCH("Private", 'Inventory - Public Private FMS'!$L$17:$L$1792))
* ((ISNUMBER(SEARCH("Primary Production", 'Inventory - Public Private FMS'!$N$17:$N$1792)))
+ (ISNUMBER(SEARCH("All Stages", 'Inventory - Public Private FMS'!$N$17:$N$1792))) &gt; 0)))</f>
        <v>0</v>
      </c>
      <c r="N23" s="247" cm="1">
        <f t="array" ref="N23">SUMPRODUCT(--(ISNUMBER(SEARCH("Croatia", 'Inventory - Public Private FMS'!$J$17:$J$1792))
* ISNUMBER(SEARCH("Private", 'Inventory - Public Private FMS'!$L$17:$L$1792))
* ((ISNUMBER(SEARCH("Processing &amp; Manufacturing", 'Inventory - Public Private FMS'!$N$17:$N$1792)))
+ (ISNUMBER(SEARCH("All Stages", 'Inventory - Public Private FMS'!$N$17:$N$1792))) &gt; 0)))</f>
        <v>0</v>
      </c>
      <c r="O23" s="247" cm="1">
        <f t="array" ref="O23">SUMPRODUCT(--(ISNUMBER(SEARCH("Croatia", 'Inventory - Public Private FMS'!$J$17:$J$1792))
* ISNUMBER(SEARCH("Private", 'Inventory - Public Private FMS'!$L$17:$L$1792))
* ((ISNUMBER(SEARCH("Retail", 'Inventory - Public Private FMS'!$N$17:$N$1792)))
+ (ISNUMBER(SEARCH("All Stages", 'Inventory - Public Private FMS'!$N$17:$N$1792))) &gt; 0)))</f>
        <v>0</v>
      </c>
      <c r="P23" s="247" cm="1">
        <f t="array" ref="P23">SUMPRODUCT(--(ISNUMBER(SEARCH("Croatia", 'Inventory - Public Private FMS'!$J$17:$J$1792))
* ISNUMBER(SEARCH("Private", 'Inventory - Public Private FMS'!$L$17:$L$1792))
* ((ISNUMBER(SEARCH("Food services", 'Inventory - Public Private FMS'!$N$17:$N$1792)))
+ (ISNUMBER(SEARCH("All Stages", 'Inventory - Public Private FMS'!$N$17:$N$1792))) &gt; 0)))</f>
        <v>0</v>
      </c>
      <c r="Q23" s="224"/>
      <c r="R23" s="246" cm="1">
        <f t="array" ref="R23">SUMPRODUCT(--(ISNUMBER(SEARCH("Croatia",'Inventory - Public Private FMS'!$J$17:$J$1792))
*(ISNUMBER(SEARCH("Private",'Inventory - Public Private FMS'!$L$17:$L$1792)))&gt;0))</f>
        <v>0</v>
      </c>
    </row>
    <row r="24" spans="2:18">
      <c r="B24" s="248"/>
      <c r="C24" s="249" t="s">
        <v>3941</v>
      </c>
      <c r="D24" s="246">
        <f t="shared" ref="D24:K24" si="4">SUM(D22:D23)</f>
        <v>9</v>
      </c>
      <c r="E24" s="246">
        <f t="shared" si="4"/>
        <v>4</v>
      </c>
      <c r="F24" s="246">
        <f t="shared" si="4"/>
        <v>5</v>
      </c>
      <c r="G24" s="246">
        <f t="shared" si="4"/>
        <v>13</v>
      </c>
      <c r="H24" s="246">
        <f t="shared" si="4"/>
        <v>14</v>
      </c>
      <c r="I24" s="246">
        <f t="shared" si="4"/>
        <v>3</v>
      </c>
      <c r="J24" s="246">
        <f t="shared" si="4"/>
        <v>3</v>
      </c>
      <c r="K24" s="246">
        <f t="shared" si="4"/>
        <v>4</v>
      </c>
      <c r="L24" s="224"/>
      <c r="M24" s="246">
        <f>SUM(M22:M23)</f>
        <v>16</v>
      </c>
      <c r="N24" s="246">
        <f>SUM(N22:N23)</f>
        <v>19</v>
      </c>
      <c r="O24" s="246">
        <f>SUM(O22:O23)</f>
        <v>0</v>
      </c>
      <c r="P24" s="246">
        <f>SUM(P22:P23)</f>
        <v>0</v>
      </c>
      <c r="Q24" s="224"/>
      <c r="R24" s="246">
        <f>SUM(R22:R23)</f>
        <v>21</v>
      </c>
    </row>
    <row r="25" spans="2:18">
      <c r="B25" s="240" t="s">
        <v>3942</v>
      </c>
      <c r="C25" s="253" t="s">
        <v>3916</v>
      </c>
      <c r="D25" s="242" cm="1">
        <f t="array" ref="D25">SUMPRODUCT(--(ISNUMBER(SEARCH("Cyprus", 'Inventory - Public Private FMS'!$J$17:$J$1792))
* ((ISNUMBER(SEARCH("Fruits", 'Inventory - Public Private FMS'!$F$17:$F$1792)))
+ (ISNUMBER(SEARCH("Vegetables", 'Inventory - Public Private FMS'!$F$17:$F$1792)))
+ (ISNUMBER(SEARCH("All food commodities", 'Inventory - Public Private FMS'!$F$17:$F$1792))) &gt; 0)))</f>
        <v>0</v>
      </c>
      <c r="E25" s="242" cm="1">
        <f t="array" ref="E25">SUMPRODUCT(--(ISNUMBER(SEARCH("Cyprus",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25" s="242" cm="1">
        <f t="array" ref="F25">SUMPRODUCT(--(ISNUMBER(SEARCH("Cyprus",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25" s="242" cm="1">
        <f t="array" ref="G25">SUMPRODUCT(--(ISNUMBER(SEARCH("Cyprus",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2</v>
      </c>
      <c r="H25" s="242" cm="1">
        <f t="array" ref="H25">SUMPRODUCT(--(ISNUMBER(SEARCH("Cyprus",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v>
      </c>
      <c r="I25" s="242" cm="1">
        <f t="array" ref="I25">SUMPRODUCT(--(ISNUMBER(SEARCH("Cyprus", 'Inventory - Public Private FMS'!$J$17:$J$1792))
* ((ISNUMBER(SEARCH("Eggs", 'Inventory - Public Private FMS'!$F$17:$F$1792)))
+ (ISNUMBER(SEARCH("All food commodities", 'Inventory - Public Private FMS'!$F$17:$F$1792))) &gt; 0)))</f>
        <v>0</v>
      </c>
      <c r="J25" s="242" cm="1">
        <f t="array" ref="J25">SUMPRODUCT(--(ISNUMBER(SEARCH("Cyprus", 'Inventory - Public Private FMS'!$J$17:$J$1792))
* ((ISNUMBER(SEARCH("Fish", 'Inventory - Public Private FMS'!$F$17:$F$1792)))
+ (ISNUMBER(SEARCH("All food commodities", 'Inventory - Public Private FMS'!$F$17:$F$1792))) &gt; 0)))</f>
        <v>0</v>
      </c>
      <c r="K25" s="242" cm="1">
        <f t="array" ref="K25">SUMPRODUCT(--(ISNUMBER(SEARCH("Cyprus", 'Inventory - Public Private FMS'!$J$17:$J$1792))
* ((ISNUMBER(SEARCH("Cereals", 'Inventory - Public Private FMS'!$F$17:$F$1792)))
+ (ISNUMBER(SEARCH("All food commodities", 'Inventory - Public Private FMS'!$F$17:$F$1792))) &gt; 0)))</f>
        <v>0</v>
      </c>
      <c r="L25" s="221"/>
      <c r="M25" s="242" cm="1">
        <f t="array" ref="M25">SUMPRODUCT(--(ISNUMBER(SEARCH("Cyprus", 'Inventory - Public Private FMS'!$J$17:$J$1792))
* ((ISNUMBER(SEARCH("Primary Production", 'Inventory - Public Private FMS'!$N$17:$N$1792)))
+ (ISNUMBER(SEARCH("All Stages", 'Inventory - Public Private FMS'!$N$17:$N$1792))) &gt; 0)))</f>
        <v>2</v>
      </c>
      <c r="N25" s="242" cm="1">
        <f t="array" ref="N25">SUMPRODUCT(--(ISNUMBER(SEARCH("Cyprus", 'Inventory - Public Private FMS'!$J$17:$J$1792))
* ((ISNUMBER(SEARCH("Processing &amp; Manufacturing", 'Inventory - Public Private FMS'!$N$17:$N$1792)))
+ (ISNUMBER(SEARCH("All Stages", 'Inventory - Public Private FMS'!$N$17:$N$1792))) &gt; 0)))</f>
        <v>2</v>
      </c>
      <c r="O25" s="242" cm="1">
        <f t="array" ref="O25">SUMPRODUCT(--(ISNUMBER(SEARCH("Cyprus", 'Inventory - Public Private FMS'!$J$17:$J$1792))
* ((ISNUMBER(SEARCH("Retail", 'Inventory - Public Private FMS'!$N$17:$N$1792)))
+ (ISNUMBER(SEARCH("All Stages", 'Inventory - Public Private FMS'!$N$17:$N$1792))) &gt; 0)))</f>
        <v>0</v>
      </c>
      <c r="P25" s="242" cm="1">
        <f t="array" ref="P25">SUMPRODUCT(--(ISNUMBER(SEARCH("Cyprus", 'Inventory - Public Private FMS'!$J$17:$J$1792))
* ((ISNUMBER(SEARCH("Food services", 'Inventory - Public Private FMS'!$N$17:$N$1792)))
+ (ISNUMBER(SEARCH("All Stages", 'Inventory - Public Private FMS'!$N$17:$N$1792))) &gt; 0)))</f>
        <v>0</v>
      </c>
      <c r="Q25" s="221"/>
      <c r="R25" s="243">
        <f>COUNTIF('Inventory - Public Private FMS'!$J$17:$J$1792, "*Cyprus*")</f>
        <v>2</v>
      </c>
    </row>
    <row r="26" spans="2:18">
      <c r="B26" s="244"/>
      <c r="C26" s="126" t="s">
        <v>737</v>
      </c>
      <c r="D26" s="246" cm="1">
        <f t="array" ref="D26">SUMPRODUCT(--(ISNUMBER(SEARCH("Cyprus",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0</v>
      </c>
      <c r="E26" s="247" cm="1">
        <f t="array" ref="E26">SUMPRODUCT(--(ISNUMBER(SEARCH("Cyprus",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26" s="247" cm="1">
        <f t="array" ref="F26">SUMPRODUCT(--(ISNUMBER(SEARCH("Cyprus",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26" s="247" cm="1">
        <f t="array" ref="G26">SUMPRODUCT(--(ISNUMBER(SEARCH("Cyprus",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2</v>
      </c>
      <c r="H26" s="247" cm="1">
        <f t="array" ref="H26">SUMPRODUCT(--(ISNUMBER(SEARCH("Cyprus",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v>
      </c>
      <c r="I26" s="247" cm="1">
        <f t="array" ref="I26">SUMPRODUCT(--(ISNUMBER(SEARCH("Cyprus", 'Inventory - Public Private FMS'!$J$17:$J$1792))
* ISNUMBER(SEARCH("Public", 'Inventory - Public Private FMS'!$L$17:$L$1792))
* ((ISNUMBER(SEARCH("Eggs", 'Inventory - Public Private FMS'!$F$17:$F$1792)))
+ (ISNUMBER(SEARCH("All food commodities", 'Inventory - Public Private FMS'!$F$17:$F$1792))) &gt; 0)))</f>
        <v>0</v>
      </c>
      <c r="J26" s="247" cm="1">
        <f t="array" ref="J26">SUMPRODUCT(--(ISNUMBER(SEARCH("Cyprus", 'Inventory - Public Private FMS'!$J$17:$J$1792))
* ISNUMBER(SEARCH("Public", 'Inventory - Public Private FMS'!$L$17:$L$1792))
* ((ISNUMBER(SEARCH("Fish", 'Inventory - Public Private FMS'!$F$17:$F$1792)))
+ (ISNUMBER(SEARCH("All food commodities", 'Inventory - Public Private FMS'!$F$17:$F$1792))) &gt; 0)))</f>
        <v>0</v>
      </c>
      <c r="K26" s="247" cm="1">
        <f t="array" ref="K26">SUMPRODUCT(--(ISNUMBER(SEARCH("Cyprus", 'Inventory - Public Private FMS'!$J$17:$J$1792))
* ISNUMBER(SEARCH("Public", 'Inventory - Public Private FMS'!$L$17:$L$1792))
* ((ISNUMBER(SEARCH("Cereals", 'Inventory - Public Private FMS'!$F$17:$F$1792)))
+ (ISNUMBER(SEARCH("All food commodities", 'Inventory - Public Private FMS'!$F$17:$F$1792))) &gt; 0)))</f>
        <v>0</v>
      </c>
      <c r="L26" s="224"/>
      <c r="M26" s="247" cm="1">
        <f t="array" ref="M26">SUMPRODUCT(--(ISNUMBER(SEARCH("Cyprus", 'Inventory - Public Private FMS'!$J$17:$J$1792))
* ISNUMBER(SEARCH("Public", 'Inventory - Public Private FMS'!$L$17:$L$1792))
* ((ISNUMBER(SEARCH("Primary Production", 'Inventory - Public Private FMS'!$N$17:$N$1792)))
+ (ISNUMBER(SEARCH("All Stages", 'Inventory - Public Private FMS'!$N$17:$N$1792))) &gt; 0)))</f>
        <v>2</v>
      </c>
      <c r="N26" s="247" cm="1">
        <f t="array" ref="N26">SUMPRODUCT(--(ISNUMBER(SEARCH("Cyprus", 'Inventory - Public Private FMS'!$J$17:$J$1792))
* ISNUMBER(SEARCH("Public", 'Inventory - Public Private FMS'!$L$17:$L$1792))
* ((ISNUMBER(SEARCH("Processing &amp; Manufacturing", 'Inventory - Public Private FMS'!$N$17:$N$1792)))
+ (ISNUMBER(SEARCH("All Stages", 'Inventory - Public Private FMS'!$N$17:$N$1792))) &gt; 0)))</f>
        <v>2</v>
      </c>
      <c r="O26" s="247" cm="1">
        <f t="array" ref="O26">SUMPRODUCT(--(ISNUMBER(SEARCH("Cyprus", 'Inventory - Public Private FMS'!$J$17:$J$1792))
* ISNUMBER(SEARCH("Public", 'Inventory - Public Private FMS'!$L$17:$L$1792))
* ((ISNUMBER(SEARCH("Retail", 'Inventory - Public Private FMS'!$N$17:$N$1792)))
+ (ISNUMBER(SEARCH("All Stages", 'Inventory - Public Private FMS'!$N$17:$N$1792))) &gt; 0)))</f>
        <v>0</v>
      </c>
      <c r="P26" s="247" cm="1">
        <f t="array" ref="P26">SUMPRODUCT(--(ISNUMBER(SEARCH("Cyprus", 'Inventory - Public Private FMS'!$J$17:$J$1792))
* ISNUMBER(SEARCH("Public", 'Inventory - Public Private FMS'!$L$17:$L$1792))
* ((ISNUMBER(SEARCH("Food services", 'Inventory - Public Private FMS'!$N$17:$N$1792)))
+ (ISNUMBER(SEARCH("All Stages", 'Inventory - Public Private FMS'!$N$17:$N$1792))) &gt; 0)))</f>
        <v>0</v>
      </c>
      <c r="Q26" s="224"/>
      <c r="R26" s="246" cm="1">
        <f t="array" ref="R26">SUMPRODUCT(--(ISNUMBER(SEARCH("Cyprus",'Inventory - Public Private FMS'!$J$17:$J$1792))
*(ISNUMBER(SEARCH("Public",'Inventory - Public Private FMS'!$L$17:$L$1792)))&gt;0))</f>
        <v>2</v>
      </c>
    </row>
    <row r="27" spans="2:18">
      <c r="B27" s="248"/>
      <c r="C27" s="126" t="s">
        <v>74</v>
      </c>
      <c r="D27" s="246" cm="1">
        <f t="array" ref="D27">SUMPRODUCT(--(ISNUMBER(SEARCH("Cyprus",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27" s="247" cm="1">
        <f t="array" ref="E27">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27" s="247" cm="1">
        <f t="array" ref="F27">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27" s="247" cm="1">
        <f t="array" ref="G27">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27" s="247" cm="1">
        <f t="array" ref="H27">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27" s="247" cm="1">
        <f t="array" ref="I27">SUMPRODUCT(--(ISNUMBER(SEARCH("Cyprus", 'Inventory - Public Private FMS'!$J$17:$J$1792))
* ISNUMBER(SEARCH("Private", 'Inventory - Public Private FMS'!$L$17:$L$1792))
* ((ISNUMBER(SEARCH("Eggs", 'Inventory - Public Private FMS'!$F$17:$F$1792)))
+ (ISNUMBER(SEARCH("All food commodities", 'Inventory - Public Private FMS'!$F$17:$F$1792))) &gt; 0)))</f>
        <v>0</v>
      </c>
      <c r="J27" s="247" cm="1">
        <f t="array" ref="J27">SUMPRODUCT(--(ISNUMBER(SEARCH("Cyprus", 'Inventory - Public Private FMS'!$J$17:$J$1792))
* ISNUMBER(SEARCH("Private", 'Inventory - Public Private FMS'!$L$17:$L$1792))
* ((ISNUMBER(SEARCH("Fish", 'Inventory - Public Private FMS'!$F$17:$F$1792)))
+ (ISNUMBER(SEARCH("All food commodities", 'Inventory - Public Private FMS'!$F$17:$F$1792))) &gt; 0)))</f>
        <v>0</v>
      </c>
      <c r="K27" s="247" cm="1">
        <f t="array" ref="K27">SUMPRODUCT(--(ISNUMBER(SEARCH("Cyprus", 'Inventory - Public Private FMS'!$J$17:$J$1792))
* ISNUMBER(SEARCH("Private", 'Inventory - Public Private FMS'!$L$17:$L$1792))
* ((ISNUMBER(SEARCH("Cereals", 'Inventory - Public Private FMS'!$F$17:$F$1792)))
+ (ISNUMBER(SEARCH("All food commodities", 'Inventory - Public Private FMS'!$F$17:$F$1792))) &gt; 0)))</f>
        <v>0</v>
      </c>
      <c r="L27" s="224"/>
      <c r="M27" s="247" cm="1">
        <f t="array" ref="M27">SUMPRODUCT(--(ISNUMBER(SEARCH("Cyprus", 'Inventory - Public Private FMS'!$J$17:$J$1792))
* ISNUMBER(SEARCH("Private", 'Inventory - Public Private FMS'!$L$17:$L$1792))
* ((ISNUMBER(SEARCH("Primary Production", 'Inventory - Public Private FMS'!$N$17:$N$1792)))
+ (ISNUMBER(SEARCH("All Stages", 'Inventory - Public Private FMS'!$N$17:$N$1792))) &gt; 0)))</f>
        <v>0</v>
      </c>
      <c r="N27" s="247" cm="1">
        <f t="array" ref="N27">SUMPRODUCT(--(ISNUMBER(SEARCH("Cyprus", 'Inventory - Public Private FMS'!$J$17:$J$1792))
* ISNUMBER(SEARCH("Private", 'Inventory - Public Private FMS'!$L$17:$L$1792))
* ((ISNUMBER(SEARCH("Processing &amp; Manufacturing", 'Inventory - Public Private FMS'!$N$17:$N$1792)))
+ (ISNUMBER(SEARCH("All Stages", 'Inventory - Public Private FMS'!$N$17:$N$1792))) &gt; 0)))</f>
        <v>0</v>
      </c>
      <c r="O27" s="247" cm="1">
        <f t="array" ref="O27">SUMPRODUCT(--(ISNUMBER(SEARCH("Cyprus", 'Inventory - Public Private FMS'!$J$17:$J$1792))
* ISNUMBER(SEARCH("Private", 'Inventory - Public Private FMS'!$L$17:$L$1792))
* ((ISNUMBER(SEARCH("Retail", 'Inventory - Public Private FMS'!$N$17:$N$1792)))
+ (ISNUMBER(SEARCH("All Stages", 'Inventory - Public Private FMS'!$N$17:$N$1792))) &gt; 0)))</f>
        <v>0</v>
      </c>
      <c r="P27" s="247" cm="1">
        <f t="array" ref="P27">SUMPRODUCT(--(ISNUMBER(SEARCH("Cyprus", 'Inventory - Public Private FMS'!$J$17:$J$1792))
* ISNUMBER(SEARCH("Private", 'Inventory - Public Private FMS'!$L$17:$L$1792))
* ((ISNUMBER(SEARCH("Food services", 'Inventory - Public Private FMS'!$N$17:$N$1792)))
+ (ISNUMBER(SEARCH("All Stages", 'Inventory - Public Private FMS'!$N$17:$N$1792))) &gt; 0)))</f>
        <v>0</v>
      </c>
      <c r="Q27" s="224"/>
      <c r="R27" s="246" cm="1">
        <f t="array" ref="R27">SUMPRODUCT(--(ISNUMBER(SEARCH("Cyprus",'Inventory - Public Private FMS'!$J$17:$J$1792))
*(ISNUMBER(SEARCH("Private",'Inventory - Public Private FMS'!$L$17:$L$1792)))&gt;0))</f>
        <v>0</v>
      </c>
    </row>
    <row r="28" spans="2:18">
      <c r="B28" s="248"/>
      <c r="C28" s="249" t="s">
        <v>3941</v>
      </c>
      <c r="D28" s="246">
        <f t="shared" ref="D28:K28" si="5">SUM(D26:D27)</f>
        <v>0</v>
      </c>
      <c r="E28" s="246">
        <f t="shared" si="5"/>
        <v>0</v>
      </c>
      <c r="F28" s="246">
        <f t="shared" si="5"/>
        <v>0</v>
      </c>
      <c r="G28" s="246">
        <f t="shared" si="5"/>
        <v>2</v>
      </c>
      <c r="H28" s="246">
        <f t="shared" si="5"/>
        <v>2</v>
      </c>
      <c r="I28" s="246">
        <f t="shared" si="5"/>
        <v>0</v>
      </c>
      <c r="J28" s="246">
        <f t="shared" si="5"/>
        <v>0</v>
      </c>
      <c r="K28" s="246">
        <f t="shared" si="5"/>
        <v>0</v>
      </c>
      <c r="L28" s="224"/>
      <c r="M28" s="246">
        <f>SUM(M26:M27)</f>
        <v>2</v>
      </c>
      <c r="N28" s="246">
        <f>SUM(N26:N27)</f>
        <v>2</v>
      </c>
      <c r="O28" s="246">
        <f>SUM(O26:O27)</f>
        <v>0</v>
      </c>
      <c r="P28" s="246">
        <f>SUM(P26:P27)</f>
        <v>0</v>
      </c>
      <c r="Q28" s="224"/>
      <c r="R28" s="246">
        <f>SUM(R26:R27)</f>
        <v>2</v>
      </c>
    </row>
    <row r="29" spans="2:18">
      <c r="B29" s="240" t="s">
        <v>3943</v>
      </c>
      <c r="C29" s="253" t="s">
        <v>3916</v>
      </c>
      <c r="D29" s="242" cm="1">
        <f t="array" ref="D29">SUMPRODUCT(--(ISNUMBER(SEARCH("Czechia", 'Inventory - Public Private FMS'!$J$17:$J$1792))
* ((ISNUMBER(SEARCH("Fruits", 'Inventory - Public Private FMS'!$F$17:$F$1792)))
+ (ISNUMBER(SEARCH("Vegetables", 'Inventory - Public Private FMS'!$F$17:$F$1792)))
+ (ISNUMBER(SEARCH("All food commodities", 'Inventory - Public Private FMS'!$F$17:$F$1792))) &gt; 0)))</f>
        <v>2</v>
      </c>
      <c r="E29" s="242" cm="1">
        <f t="array" ref="E29">SUMPRODUCT(--(ISNUMBER(SEARCH("Czechia",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29" s="242" cm="1">
        <f t="array" ref="F29">SUMPRODUCT(--(ISNUMBER(SEARCH("Czechia",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29" s="242" cm="1">
        <f t="array" ref="G29">SUMPRODUCT(--(ISNUMBER(SEARCH("Czechia",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29" s="242" cm="1">
        <f t="array" ref="H29">SUMPRODUCT(--(ISNUMBER(SEARCH("Czechia",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29" s="242" cm="1">
        <f t="array" ref="I29">SUMPRODUCT(--(ISNUMBER(SEARCH("Czechia", 'Inventory - Public Private FMS'!$J$17:$J$1792))
* ((ISNUMBER(SEARCH("Eggs", 'Inventory - Public Private FMS'!$F$17:$F$1792)))
+ (ISNUMBER(SEARCH("All food commodities", 'Inventory - Public Private FMS'!$F$17:$F$1792))) &gt; 0)))</f>
        <v>0</v>
      </c>
      <c r="J29" s="242" cm="1">
        <f t="array" ref="J29">SUMPRODUCT(--(ISNUMBER(SEARCH("Czechia", 'Inventory - Public Private FMS'!$J$17:$J$1792))
* ((ISNUMBER(SEARCH("Fish", 'Inventory - Public Private FMS'!$F$17:$F$1792)))
+ (ISNUMBER(SEARCH("All food commodities", 'Inventory - Public Private FMS'!$F$17:$F$1792))) &gt; 0)))</f>
        <v>2</v>
      </c>
      <c r="K29" s="242" cm="1">
        <f t="array" ref="K29">SUMPRODUCT(--(ISNUMBER(SEARCH("Czechia", 'Inventory - Public Private FMS'!$J$17:$J$1792))
* ((ISNUMBER(SEARCH("Cereals", 'Inventory - Public Private FMS'!$F$17:$F$1792)))
+ (ISNUMBER(SEARCH("All food commodities", 'Inventory - Public Private FMS'!$F$17:$F$1792))) &gt; 0)))</f>
        <v>0</v>
      </c>
      <c r="L29" s="221"/>
      <c r="M29" s="242" cm="1">
        <f t="array" ref="M29">SUMPRODUCT(--(ISNUMBER(SEARCH("Czechia", 'Inventory - Public Private FMS'!$J$17:$J$1792))
* ((ISNUMBER(SEARCH("Primary Production", 'Inventory - Public Private FMS'!$N$17:$N$1792)))
+ (ISNUMBER(SEARCH("All Stages", 'Inventory - Public Private FMS'!$N$17:$N$1792))) &gt; 0)))</f>
        <v>4</v>
      </c>
      <c r="N29" s="242" cm="1">
        <f t="array" ref="N29">SUMPRODUCT(--(ISNUMBER(SEARCH("Czechia", 'Inventory - Public Private FMS'!$J$17:$J$1792))
* ((ISNUMBER(SEARCH("Processing &amp; Manufacturing", 'Inventory - Public Private FMS'!$N$17:$N$1792)))
+ (ISNUMBER(SEARCH("All Stages", 'Inventory - Public Private FMS'!$N$17:$N$1792))) &gt; 0)))</f>
        <v>4</v>
      </c>
      <c r="O29" s="242" cm="1">
        <f t="array" ref="O29">SUMPRODUCT(--(ISNUMBER(SEARCH("Czechia", 'Inventory - Public Private FMS'!$J$17:$J$1792))
* ((ISNUMBER(SEARCH("Retail", 'Inventory - Public Private FMS'!$N$17:$N$1792)))
+ (ISNUMBER(SEARCH("All Stages", 'Inventory - Public Private FMS'!$N$17:$N$1792))) &gt; 0)))</f>
        <v>0</v>
      </c>
      <c r="P29" s="242" cm="1">
        <f t="array" ref="P29">SUMPRODUCT(--(ISNUMBER(SEARCH("Czechia", 'Inventory - Public Private FMS'!$J$17:$J$1792))
* ((ISNUMBER(SEARCH("Food services", 'Inventory - Public Private FMS'!$N$17:$N$1792)))
+ (ISNUMBER(SEARCH("All Stages", 'Inventory - Public Private FMS'!$N$17:$N$1792))) &gt; 0)))</f>
        <v>0</v>
      </c>
      <c r="Q29" s="221"/>
      <c r="R29" s="243">
        <f>COUNTIF('Inventory - Public Private FMS'!$J$17:$J$1792, "*Czechia*")</f>
        <v>4</v>
      </c>
    </row>
    <row r="30" spans="2:18">
      <c r="B30" s="244"/>
      <c r="C30" s="126" t="s">
        <v>737</v>
      </c>
      <c r="D30" s="246" cm="1">
        <f t="array" ref="D30">SUMPRODUCT(--(ISNUMBER(SEARCH("Czechia",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2</v>
      </c>
      <c r="E30" s="247" cm="1">
        <f t="array" ref="E30">SUMPRODUCT(--(ISNUMBER(SEARCH("Czechia",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30" s="247" cm="1">
        <f t="array" ref="F30">SUMPRODUCT(--(ISNUMBER(SEARCH("Czechia",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30" s="247" cm="1">
        <f t="array" ref="G30">SUMPRODUCT(--(ISNUMBER(SEARCH("Czechia",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30" s="247" cm="1">
        <f t="array" ref="H30">SUMPRODUCT(--(ISNUMBER(SEARCH("Czechia",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0" s="247" cm="1">
        <f t="array" ref="I30">SUMPRODUCT(--(ISNUMBER(SEARCH("Czechia", 'Inventory - Public Private FMS'!$J$17:$J$1792))
* ISNUMBER(SEARCH("Public", 'Inventory - Public Private FMS'!$L$17:$L$1792))
* ((ISNUMBER(SEARCH("Eggs", 'Inventory - Public Private FMS'!$F$17:$F$1792)))
+ (ISNUMBER(SEARCH("All food commodities", 'Inventory - Public Private FMS'!$F$17:$F$1792))) &gt; 0)))</f>
        <v>0</v>
      </c>
      <c r="J30" s="247" cm="1">
        <f t="array" ref="J30">SUMPRODUCT(--(ISNUMBER(SEARCH("Czechia", 'Inventory - Public Private FMS'!$J$17:$J$1792))
* ISNUMBER(SEARCH("Public", 'Inventory - Public Private FMS'!$L$17:$L$1792))
* ((ISNUMBER(SEARCH("Fish", 'Inventory - Public Private FMS'!$F$17:$F$1792)))
+ (ISNUMBER(SEARCH("All food commodities", 'Inventory - Public Private FMS'!$F$17:$F$1792))) &gt; 0)))</f>
        <v>2</v>
      </c>
      <c r="K30" s="247" cm="1">
        <f t="array" ref="K30">SUMPRODUCT(--(ISNUMBER(SEARCH("Czechia", 'Inventory - Public Private FMS'!$J$17:$J$1792))
* ISNUMBER(SEARCH("Public", 'Inventory - Public Private FMS'!$L$17:$L$1792))
* ((ISNUMBER(SEARCH("Cereals", 'Inventory - Public Private FMS'!$F$17:$F$1792)))
+ (ISNUMBER(SEARCH("All food commodities", 'Inventory - Public Private FMS'!$F$17:$F$1792))) &gt; 0)))</f>
        <v>0</v>
      </c>
      <c r="L30" s="224"/>
      <c r="M30" s="247" cm="1">
        <f t="array" ref="M30">SUMPRODUCT(--(ISNUMBER(SEARCH("Czechia", 'Inventory - Public Private FMS'!$J$17:$J$1792))
* ISNUMBER(SEARCH("Public", 'Inventory - Public Private FMS'!$L$17:$L$1792))
* ((ISNUMBER(SEARCH("Primary Production", 'Inventory - Public Private FMS'!$N$17:$N$1792)))
+ (ISNUMBER(SEARCH("All Stages", 'Inventory - Public Private FMS'!$N$17:$N$1792))) &gt; 0)))</f>
        <v>4</v>
      </c>
      <c r="N30" s="247" cm="1">
        <f t="array" ref="N30">SUMPRODUCT(--(ISNUMBER(SEARCH("Czechia", 'Inventory - Public Private FMS'!$J$17:$J$1792))
* ISNUMBER(SEARCH("Public", 'Inventory - Public Private FMS'!$L$17:$L$1792))
* ((ISNUMBER(SEARCH("Processing &amp; Manufacturing", 'Inventory - Public Private FMS'!$N$17:$N$1792)))
+ (ISNUMBER(SEARCH("All Stages", 'Inventory - Public Private FMS'!$N$17:$N$1792))) &gt; 0)))</f>
        <v>4</v>
      </c>
      <c r="O30" s="247" cm="1">
        <f t="array" ref="O30">SUMPRODUCT(--(ISNUMBER(SEARCH("Czechia", 'Inventory - Public Private FMS'!$J$17:$J$1792))
* ISNUMBER(SEARCH("Public", 'Inventory - Public Private FMS'!$L$17:$L$1792))
* ((ISNUMBER(SEARCH("Retail", 'Inventory - Public Private FMS'!$N$17:$N$1792)))
+ (ISNUMBER(SEARCH("All Stages", 'Inventory - Public Private FMS'!$N$17:$N$1792))) &gt; 0)))</f>
        <v>0</v>
      </c>
      <c r="P30" s="247" cm="1">
        <f t="array" ref="P30">SUMPRODUCT(--(ISNUMBER(SEARCH("Czechia", 'Inventory - Public Private FMS'!$J$17:$J$1792))
* ISNUMBER(SEARCH("Public", 'Inventory - Public Private FMS'!$L$17:$L$1792))
* ((ISNUMBER(SEARCH("Food services", 'Inventory - Public Private FMS'!$N$17:$N$1792)))
+ (ISNUMBER(SEARCH("All Stages", 'Inventory - Public Private FMS'!$N$17:$N$1792))) &gt; 0)))</f>
        <v>0</v>
      </c>
      <c r="Q30" s="224"/>
      <c r="R30" s="246" cm="1">
        <f t="array" ref="R30">SUMPRODUCT(--(ISNUMBER(SEARCH("Czechia",'Inventory - Public Private FMS'!$J$17:$J$1792))
*(ISNUMBER(SEARCH("Public",'Inventory - Public Private FMS'!$L$17:$L$1792)))&gt;0))</f>
        <v>4</v>
      </c>
    </row>
    <row r="31" spans="2:18">
      <c r="B31" s="248"/>
      <c r="C31" s="126" t="s">
        <v>74</v>
      </c>
      <c r="D31" s="246" cm="1">
        <f t="array" ref="D31">SUMPRODUCT(--(ISNUMBER(SEARCH("Czechia",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31" s="247" cm="1">
        <f t="array" ref="E31">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31" s="247" cm="1">
        <f t="array" ref="F31">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31" s="247" cm="1">
        <f t="array" ref="G31">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31" s="247" cm="1">
        <f t="array" ref="H31">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1" s="247" cm="1">
        <f t="array" ref="I31">SUMPRODUCT(--(ISNUMBER(SEARCH("Czechia", 'Inventory - Public Private FMS'!$J$17:$J$1792))
* ISNUMBER(SEARCH("Private", 'Inventory - Public Private FMS'!$L$17:$L$1792))
* ((ISNUMBER(SEARCH("Eggs", 'Inventory - Public Private FMS'!$F$17:$F$1792)))
+ (ISNUMBER(SEARCH("All food commodities", 'Inventory - Public Private FMS'!$F$17:$F$1792))) &gt; 0)))</f>
        <v>0</v>
      </c>
      <c r="J31" s="247" cm="1">
        <f t="array" ref="J31">SUMPRODUCT(--(ISNUMBER(SEARCH("Czechia", 'Inventory - Public Private FMS'!$J$17:$J$1792))
* ISNUMBER(SEARCH("Private", 'Inventory - Public Private FMS'!$L$17:$L$1792))
* ((ISNUMBER(SEARCH("Fish", 'Inventory - Public Private FMS'!$F$17:$F$1792)))
+ (ISNUMBER(SEARCH("All food commodities", 'Inventory - Public Private FMS'!$F$17:$F$1792))) &gt; 0)))</f>
        <v>0</v>
      </c>
      <c r="K31" s="247" cm="1">
        <f t="array" ref="K31">SUMPRODUCT(--(ISNUMBER(SEARCH("Czechia", 'Inventory - Public Private FMS'!$J$17:$J$1792))
* ISNUMBER(SEARCH("Private", 'Inventory - Public Private FMS'!$L$17:$L$1792))
* ((ISNUMBER(SEARCH("Cereals", 'Inventory - Public Private FMS'!$F$17:$F$1792)))
+ (ISNUMBER(SEARCH("All food commodities", 'Inventory - Public Private FMS'!$F$17:$F$1792))) &gt; 0)))</f>
        <v>0</v>
      </c>
      <c r="L31" s="224"/>
      <c r="M31" s="247" cm="1">
        <f t="array" ref="M31">SUMPRODUCT(--(ISNUMBER(SEARCH("Czechia", 'Inventory - Public Private FMS'!$J$17:$J$1792))
* ISNUMBER(SEARCH("Private", 'Inventory - Public Private FMS'!$L$17:$L$1792))
* ((ISNUMBER(SEARCH("Primary Production", 'Inventory - Public Private FMS'!$N$17:$N$1792)))
+ (ISNUMBER(SEARCH("All Stages", 'Inventory - Public Private FMS'!$N$17:$N$1792))) &gt; 0)))</f>
        <v>0</v>
      </c>
      <c r="N31" s="247" cm="1">
        <f t="array" ref="N31">SUMPRODUCT(--(ISNUMBER(SEARCH("Czechia", 'Inventory - Public Private FMS'!$J$17:$J$1792))
* ISNUMBER(SEARCH("Private", 'Inventory - Public Private FMS'!$L$17:$L$1792))
* ((ISNUMBER(SEARCH("Processing &amp; Manufacturing", 'Inventory - Public Private FMS'!$N$17:$N$1792)))
+ (ISNUMBER(SEARCH("All Stages", 'Inventory - Public Private FMS'!$N$17:$N$1792))) &gt; 0)))</f>
        <v>0</v>
      </c>
      <c r="O31" s="247" cm="1">
        <f t="array" ref="O31">SUMPRODUCT(--(ISNUMBER(SEARCH("Czechia", 'Inventory - Public Private FMS'!$J$17:$J$1792))
* ISNUMBER(SEARCH("Private", 'Inventory - Public Private FMS'!$L$17:$L$1792))
* ((ISNUMBER(SEARCH("Retail", 'Inventory - Public Private FMS'!$N$17:$N$1792)))
+ (ISNUMBER(SEARCH("All Stages", 'Inventory - Public Private FMS'!$N$17:$N$1792))) &gt; 0)))</f>
        <v>0</v>
      </c>
      <c r="P31" s="247" cm="1">
        <f t="array" ref="P31">SUMPRODUCT(--(ISNUMBER(SEARCH("Czechia", 'Inventory - Public Private FMS'!$J$17:$J$1792))
* ISNUMBER(SEARCH("Private", 'Inventory - Public Private FMS'!$L$17:$L$1792))
* ((ISNUMBER(SEARCH("Food services", 'Inventory - Public Private FMS'!$N$17:$N$1792)))
+ (ISNUMBER(SEARCH("All Stages", 'Inventory - Public Private FMS'!$N$17:$N$1792))) &gt; 0)))</f>
        <v>0</v>
      </c>
      <c r="Q31" s="224"/>
      <c r="R31" s="246" cm="1">
        <f t="array" ref="R31">SUMPRODUCT(--(ISNUMBER(SEARCH("Czechia",'Inventory - Public Private FMS'!$J$17:$J$1792))
*(ISNUMBER(SEARCH("Private",'Inventory - Public Private FMS'!$L$17:$L$1792)))&gt;0))</f>
        <v>0</v>
      </c>
    </row>
    <row r="32" spans="2:18">
      <c r="B32" s="248"/>
      <c r="C32" s="249" t="s">
        <v>3941</v>
      </c>
      <c r="D32" s="246">
        <f t="shared" ref="D32:K32" si="6">SUM(D30:D31)</f>
        <v>2</v>
      </c>
      <c r="E32" s="246">
        <f t="shared" si="6"/>
        <v>0</v>
      </c>
      <c r="F32" s="246">
        <f t="shared" si="6"/>
        <v>0</v>
      </c>
      <c r="G32" s="246">
        <f t="shared" si="6"/>
        <v>0</v>
      </c>
      <c r="H32" s="246">
        <f t="shared" si="6"/>
        <v>0</v>
      </c>
      <c r="I32" s="246">
        <f t="shared" si="6"/>
        <v>0</v>
      </c>
      <c r="J32" s="246">
        <f t="shared" si="6"/>
        <v>2</v>
      </c>
      <c r="K32" s="246">
        <f t="shared" si="6"/>
        <v>0</v>
      </c>
      <c r="L32" s="224"/>
      <c r="M32" s="246">
        <f>SUM(M30:M31)</f>
        <v>4</v>
      </c>
      <c r="N32" s="246">
        <f>SUM(N30:N31)</f>
        <v>4</v>
      </c>
      <c r="O32" s="246">
        <f>SUM(O30:O31)</f>
        <v>0</v>
      </c>
      <c r="P32" s="246">
        <f>SUM(P30:P31)</f>
        <v>0</v>
      </c>
      <c r="Q32" s="224"/>
      <c r="R32" s="246">
        <f>SUM(R30:R31)</f>
        <v>4</v>
      </c>
    </row>
    <row r="33" spans="2:18">
      <c r="B33" s="240" t="s">
        <v>712</v>
      </c>
      <c r="C33" s="253" t="s">
        <v>3916</v>
      </c>
      <c r="D33" s="242" cm="1">
        <f t="array" ref="D33">SUMPRODUCT(--(ISNUMBER(SEARCH("Denmark", 'Inventory - Public Private FMS'!$J$17:$J$1792))
* ((ISNUMBER(SEARCH("Fruits", 'Inventory - Public Private FMS'!$F$17:$F$1792)))
+ (ISNUMBER(SEARCH("Vegetables", 'Inventory - Public Private FMS'!$F$17:$F$1792)))
+ (ISNUMBER(SEARCH("All food commodities", 'Inventory - Public Private FMS'!$F$17:$F$1792))) &gt; 0)))</f>
        <v>3</v>
      </c>
      <c r="E33" s="242" cm="1">
        <f t="array" ref="E33">SUMPRODUCT(--(ISNUMBER(SEARCH("Denmark",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33" s="242" cm="1">
        <f t="array" ref="F33">SUMPRODUCT(--(ISNUMBER(SEARCH("Denmark",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33" s="242" cm="1">
        <f t="array" ref="G33">SUMPRODUCT(--(ISNUMBER(SEARCH("Denmark",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33" s="242" cm="1">
        <f t="array" ref="H33">SUMPRODUCT(--(ISNUMBER(SEARCH("Denmark",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3" s="242" cm="1">
        <f t="array" ref="I33">SUMPRODUCT(--(ISNUMBER(SEARCH("Denmark", 'Inventory - Public Private FMS'!$J$17:$J$1792))
* ((ISNUMBER(SEARCH("Eggs", 'Inventory - Public Private FMS'!$F$17:$F$1792)))
+ (ISNUMBER(SEARCH("All food commodities", 'Inventory - Public Private FMS'!$F$17:$F$1792))) &gt; 0)))</f>
        <v>0</v>
      </c>
      <c r="J33" s="242" cm="1">
        <f t="array" ref="J33">SUMPRODUCT(--(ISNUMBER(SEARCH("Denmark", 'Inventory - Public Private FMS'!$J$17:$J$1792))
* ((ISNUMBER(SEARCH("Fish", 'Inventory - Public Private FMS'!$F$17:$F$1792)))
+ (ISNUMBER(SEARCH("All food commodities", 'Inventory - Public Private FMS'!$F$17:$F$1792))) &gt; 0)))</f>
        <v>0</v>
      </c>
      <c r="K33" s="242" cm="1">
        <f t="array" ref="K33">SUMPRODUCT(--(ISNUMBER(SEARCH("Denmark", 'Inventory - Public Private FMS'!$J$17:$J$1792))
* ((ISNUMBER(SEARCH("Cereals", 'Inventory - Public Private FMS'!$F$17:$F$1792)))
+ (ISNUMBER(SEARCH("All food commodities", 'Inventory - Public Private FMS'!$F$17:$F$1792))) &gt; 0)))</f>
        <v>1</v>
      </c>
      <c r="L33" s="221"/>
      <c r="M33" s="242" cm="1">
        <f t="array" ref="M33">SUMPRODUCT(--(ISNUMBER(SEARCH("Denmark", 'Inventory - Public Private FMS'!$J$17:$J$1792))
* ((ISNUMBER(SEARCH("Primary Production", 'Inventory - Public Private FMS'!$N$17:$N$1792)))
+ (ISNUMBER(SEARCH("All Stages", 'Inventory - Public Private FMS'!$N$17:$N$1792))) &gt; 0)))</f>
        <v>2</v>
      </c>
      <c r="N33" s="242" cm="1">
        <f t="array" ref="N33">SUMPRODUCT(--(ISNUMBER(SEARCH("Denmark", 'Inventory - Public Private FMS'!$J$17:$J$1792))
* ((ISNUMBER(SEARCH("Processing &amp; Manufacturing", 'Inventory - Public Private FMS'!$N$17:$N$1792)))
+ (ISNUMBER(SEARCH("All Stages", 'Inventory - Public Private FMS'!$N$17:$N$1792))) &gt; 0)))</f>
        <v>2</v>
      </c>
      <c r="O33" s="242" cm="1">
        <f t="array" ref="O33">SUMPRODUCT(--(ISNUMBER(SEARCH("Denmark", 'Inventory - Public Private FMS'!$J$17:$J$1792))
* ((ISNUMBER(SEARCH("Retail", 'Inventory - Public Private FMS'!$N$17:$N$1792)))
+ (ISNUMBER(SEARCH("All Stages", 'Inventory - Public Private FMS'!$N$17:$N$1792))) &gt; 0)))</f>
        <v>1</v>
      </c>
      <c r="P33" s="242" cm="1">
        <f t="array" ref="P33">SUMPRODUCT(--(ISNUMBER(SEARCH("Denmark", 'Inventory - Public Private FMS'!$J$17:$J$1792))
* ((ISNUMBER(SEARCH("Food services", 'Inventory - Public Private FMS'!$N$17:$N$1792)))
+ (ISNUMBER(SEARCH("All Stages", 'Inventory - Public Private FMS'!$N$17:$N$1792))) &gt; 0)))</f>
        <v>0</v>
      </c>
      <c r="Q33" s="221"/>
      <c r="R33" s="243">
        <f>COUNTIF('Inventory - Public Private FMS'!$J$17:$J$1792, "*Denmark*")</f>
        <v>3</v>
      </c>
    </row>
    <row r="34" spans="2:18">
      <c r="B34" s="244"/>
      <c r="C34" s="126" t="s">
        <v>737</v>
      </c>
      <c r="D34" s="246" cm="1">
        <f t="array" ref="D34">SUMPRODUCT(--(ISNUMBER(SEARCH("Denmark",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2</v>
      </c>
      <c r="E34" s="247" cm="1">
        <f t="array" ref="E34">SUMPRODUCT(--(ISNUMBER(SEARCH("Denmark",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34" s="247" cm="1">
        <f t="array" ref="F34">SUMPRODUCT(--(ISNUMBER(SEARCH("Denmark",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34" s="247" cm="1">
        <f t="array" ref="G34">SUMPRODUCT(--(ISNUMBER(SEARCH("Denmark",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34" s="247" cm="1">
        <f t="array" ref="H34">SUMPRODUCT(--(ISNUMBER(SEARCH("Denmark",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4" s="247" cm="1">
        <f t="array" ref="I34">SUMPRODUCT(--(ISNUMBER(SEARCH("Denmark", 'Inventory - Public Private FMS'!$J$17:$J$1792))
* ISNUMBER(SEARCH("Public", 'Inventory - Public Private FMS'!$L$17:$L$1792))
* ((ISNUMBER(SEARCH("Eggs", 'Inventory - Public Private FMS'!$F$17:$F$1792)))
+ (ISNUMBER(SEARCH("All food commodities", 'Inventory - Public Private FMS'!$F$17:$F$1792))) &gt; 0)))</f>
        <v>0</v>
      </c>
      <c r="J34" s="247" cm="1">
        <f t="array" ref="J34">SUMPRODUCT(--(ISNUMBER(SEARCH("Denmark", 'Inventory - Public Private FMS'!$J$17:$J$1792))
* ISNUMBER(SEARCH("Public", 'Inventory - Public Private FMS'!$L$17:$L$1792))
* ((ISNUMBER(SEARCH("Fish", 'Inventory - Public Private FMS'!$F$17:$F$1792)))
+ (ISNUMBER(SEARCH("All food commodities", 'Inventory - Public Private FMS'!$F$17:$F$1792))) &gt; 0)))</f>
        <v>0</v>
      </c>
      <c r="K34" s="247" cm="1">
        <f t="array" ref="K34">SUMPRODUCT(--(ISNUMBER(SEARCH("Denmark", 'Inventory - Public Private FMS'!$J$17:$J$1792))
* ISNUMBER(SEARCH("Public", 'Inventory - Public Private FMS'!$L$17:$L$1792))
* ((ISNUMBER(SEARCH("Cereals", 'Inventory - Public Private FMS'!$F$17:$F$1792)))
+ (ISNUMBER(SEARCH("All food commodities", 'Inventory - Public Private FMS'!$F$17:$F$1792))) &gt; 0)))</f>
        <v>0</v>
      </c>
      <c r="L34" s="224"/>
      <c r="M34" s="247" cm="1">
        <f t="array" ref="M34">SUMPRODUCT(--(ISNUMBER(SEARCH("Denmark", 'Inventory - Public Private FMS'!$J$17:$J$1792))
* ISNUMBER(SEARCH("Public", 'Inventory - Public Private FMS'!$L$17:$L$1792))
* ((ISNUMBER(SEARCH("Primary Production", 'Inventory - Public Private FMS'!$N$17:$N$1792)))
+ (ISNUMBER(SEARCH("All Stages", 'Inventory - Public Private FMS'!$N$17:$N$1792))) &gt; 0)))</f>
        <v>2</v>
      </c>
      <c r="N34" s="247" cm="1">
        <f t="array" ref="N34">SUMPRODUCT(--(ISNUMBER(SEARCH("Denmark", 'Inventory - Public Private FMS'!$J$17:$J$1792))
* ISNUMBER(SEARCH("Public", 'Inventory - Public Private FMS'!$L$17:$L$1792))
* ((ISNUMBER(SEARCH("Processing &amp; Manufacturing", 'Inventory - Public Private FMS'!$N$17:$N$1792)))
+ (ISNUMBER(SEARCH("All Stages", 'Inventory - Public Private FMS'!$N$17:$N$1792))) &gt; 0)))</f>
        <v>2</v>
      </c>
      <c r="O34" s="247" cm="1">
        <f t="array" ref="O34">SUMPRODUCT(--(ISNUMBER(SEARCH("Denmark", 'Inventory - Public Private FMS'!$J$17:$J$1792))
* ISNUMBER(SEARCH("Public", 'Inventory - Public Private FMS'!$L$17:$L$1792))
* ((ISNUMBER(SEARCH("Retail", 'Inventory - Public Private FMS'!$N$17:$N$1792)))
+ (ISNUMBER(SEARCH("All Stages", 'Inventory - Public Private FMS'!$N$17:$N$1792))) &gt; 0)))</f>
        <v>0</v>
      </c>
      <c r="P34" s="247" cm="1">
        <f t="array" ref="P34">SUMPRODUCT(--(ISNUMBER(SEARCH("Denmark", 'Inventory - Public Private FMS'!$J$17:$J$1792))
* ISNUMBER(SEARCH("Public", 'Inventory - Public Private FMS'!$L$17:$L$1792))
* ((ISNUMBER(SEARCH("Food services", 'Inventory - Public Private FMS'!$N$17:$N$1792)))
+ (ISNUMBER(SEARCH("All Stages", 'Inventory - Public Private FMS'!$N$17:$N$1792))) &gt; 0)))</f>
        <v>0</v>
      </c>
      <c r="Q34" s="224"/>
      <c r="R34" s="246" cm="1">
        <f t="array" ref="R34">SUMPRODUCT(--(ISNUMBER(SEARCH("Denmark",'Inventory - Public Private FMS'!$J$17:$J$1792))
*(ISNUMBER(SEARCH("Public",'Inventory - Public Private FMS'!$L$17:$L$1792)))&gt;0))</f>
        <v>2</v>
      </c>
    </row>
    <row r="35" spans="2:18">
      <c r="B35" s="248"/>
      <c r="C35" s="126" t="s">
        <v>74</v>
      </c>
      <c r="D35" s="246" cm="1">
        <f t="array" ref="D35">SUMPRODUCT(--(ISNUMBER(SEARCH("Denmark",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1</v>
      </c>
      <c r="E35" s="247" cm="1">
        <f t="array" ref="E35">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35" s="247" cm="1">
        <f t="array" ref="F35">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35" s="247" cm="1">
        <f t="array" ref="G35">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35" s="247" cm="1">
        <f t="array" ref="H35">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5" s="247" cm="1">
        <f t="array" ref="I35">SUMPRODUCT(--(ISNUMBER(SEARCH("Denmark", 'Inventory - Public Private FMS'!$J$17:$J$1792))
* ISNUMBER(SEARCH("Private", 'Inventory - Public Private FMS'!$L$17:$L$1792))
* ((ISNUMBER(SEARCH("Eggs", 'Inventory - Public Private FMS'!$F$17:$F$1792)))
+ (ISNUMBER(SEARCH("All food commodities", 'Inventory - Public Private FMS'!$F$17:$F$1792))) &gt; 0)))</f>
        <v>0</v>
      </c>
      <c r="J35" s="247" cm="1">
        <f t="array" ref="J35">SUMPRODUCT(--(ISNUMBER(SEARCH("Denmark", 'Inventory - Public Private FMS'!$J$17:$J$1792))
* ISNUMBER(SEARCH("Private", 'Inventory - Public Private FMS'!$L$17:$L$1792))
* ((ISNUMBER(SEARCH("Fish", 'Inventory - Public Private FMS'!$F$17:$F$1792)))
+ (ISNUMBER(SEARCH("All food commodities", 'Inventory - Public Private FMS'!$F$17:$F$1792))) &gt; 0)))</f>
        <v>0</v>
      </c>
      <c r="K35" s="247" cm="1">
        <f t="array" ref="K35">SUMPRODUCT(--(ISNUMBER(SEARCH("Denmark", 'Inventory - Public Private FMS'!$J$17:$J$1792))
* ISNUMBER(SEARCH("Private", 'Inventory - Public Private FMS'!$L$17:$L$1792))
* ((ISNUMBER(SEARCH("Cereals", 'Inventory - Public Private FMS'!$F$17:$F$1792)))
+ (ISNUMBER(SEARCH("All food commodities", 'Inventory - Public Private FMS'!$F$17:$F$1792))) &gt; 0)))</f>
        <v>1</v>
      </c>
      <c r="L35" s="224"/>
      <c r="M35" s="247" cm="1">
        <f t="array" ref="M35">SUMPRODUCT(--(ISNUMBER(SEARCH("Denmark", 'Inventory - Public Private FMS'!$J$17:$J$1792))
* ISNUMBER(SEARCH("Private", 'Inventory - Public Private FMS'!$L$17:$L$1792))
* ((ISNUMBER(SEARCH("Primary Production", 'Inventory - Public Private FMS'!$N$17:$N$1792)))
+ (ISNUMBER(SEARCH("All Stages", 'Inventory - Public Private FMS'!$N$17:$N$1792))) &gt; 0)))</f>
        <v>0</v>
      </c>
      <c r="N35" s="247" cm="1">
        <f t="array" ref="N35">SUMPRODUCT(--(ISNUMBER(SEARCH("Denmark", 'Inventory - Public Private FMS'!$J$17:$J$1792))
* ISNUMBER(SEARCH("Private", 'Inventory - Public Private FMS'!$L$17:$L$1792))
* ((ISNUMBER(SEARCH("Processing &amp; Manufacturing", 'Inventory - Public Private FMS'!$N$17:$N$1792)))
+ (ISNUMBER(SEARCH("All Stages", 'Inventory - Public Private FMS'!$N$17:$N$1792))) &gt; 0)))</f>
        <v>0</v>
      </c>
      <c r="O35" s="247" cm="1">
        <f t="array" ref="O35">SUMPRODUCT(--(ISNUMBER(SEARCH("Denmark", 'Inventory - Public Private FMS'!$J$17:$J$1792))
* ISNUMBER(SEARCH("Private", 'Inventory - Public Private FMS'!$L$17:$L$1792))
* ((ISNUMBER(SEARCH("Retail", 'Inventory - Public Private FMS'!$N$17:$N$1792)))
+ (ISNUMBER(SEARCH("All Stages", 'Inventory - Public Private FMS'!$N$17:$N$1792))) &gt; 0)))</f>
        <v>1</v>
      </c>
      <c r="P35" s="247" cm="1">
        <f t="array" ref="P35">SUMPRODUCT(--(ISNUMBER(SEARCH("Denmark", 'Inventory - Public Private FMS'!$J$17:$J$1792))
* ISNUMBER(SEARCH("Private", 'Inventory - Public Private FMS'!$L$17:$L$1792))
* ((ISNUMBER(SEARCH("Food services", 'Inventory - Public Private FMS'!$N$17:$N$1792)))
+ (ISNUMBER(SEARCH("All Stages", 'Inventory - Public Private FMS'!$N$17:$N$1792))) &gt; 0)))</f>
        <v>0</v>
      </c>
      <c r="Q35" s="224"/>
      <c r="R35" s="246" cm="1">
        <f t="array" ref="R35">SUMPRODUCT(--(ISNUMBER(SEARCH("Denmark",'Inventory - Public Private FMS'!$J$17:$J$1792))
*(ISNUMBER(SEARCH("Private",'Inventory - Public Private FMS'!$L$17:$L$1792)))&gt;0))</f>
        <v>1</v>
      </c>
    </row>
    <row r="36" spans="2:18">
      <c r="B36" s="248"/>
      <c r="C36" s="249" t="s">
        <v>3941</v>
      </c>
      <c r="D36" s="246">
        <f t="shared" ref="D36:K36" si="7">SUM(D34:D35)</f>
        <v>3</v>
      </c>
      <c r="E36" s="246">
        <f t="shared" si="7"/>
        <v>0</v>
      </c>
      <c r="F36" s="246">
        <f t="shared" si="7"/>
        <v>0</v>
      </c>
      <c r="G36" s="246">
        <f t="shared" si="7"/>
        <v>0</v>
      </c>
      <c r="H36" s="246">
        <f t="shared" si="7"/>
        <v>0</v>
      </c>
      <c r="I36" s="246">
        <f t="shared" si="7"/>
        <v>0</v>
      </c>
      <c r="J36" s="246">
        <f t="shared" si="7"/>
        <v>0</v>
      </c>
      <c r="K36" s="246">
        <f t="shared" si="7"/>
        <v>1</v>
      </c>
      <c r="L36" s="224"/>
      <c r="M36" s="246">
        <f>SUM(M34:M35)</f>
        <v>2</v>
      </c>
      <c r="N36" s="246">
        <f>SUM(N34:N35)</f>
        <v>2</v>
      </c>
      <c r="O36" s="246">
        <f>SUM(O34:O35)</f>
        <v>1</v>
      </c>
      <c r="P36" s="246">
        <f>SUM(P34:P35)</f>
        <v>0</v>
      </c>
      <c r="Q36" s="224"/>
      <c r="R36" s="246">
        <f>SUM(R34:R35)</f>
        <v>3</v>
      </c>
    </row>
    <row r="37" spans="2:18">
      <c r="B37" s="240" t="s">
        <v>3944</v>
      </c>
      <c r="C37" s="253" t="s">
        <v>3916</v>
      </c>
      <c r="D37" s="242" cm="1">
        <f t="array" ref="D37">SUMPRODUCT(--(ISNUMBER(SEARCH("Estonia", 'Inventory - Public Private FMS'!$J$17:$J$1792))
* ((ISNUMBER(SEARCH("Fruits", 'Inventory - Public Private FMS'!$F$17:$F$1792)))
+ (ISNUMBER(SEARCH("Vegetables", 'Inventory - Public Private FMS'!$F$17:$F$1792)))
+ (ISNUMBER(SEARCH("All food commodities", 'Inventory - Public Private FMS'!$F$17:$F$1792))) &gt; 0)))</f>
        <v>0</v>
      </c>
      <c r="E37" s="242" cm="1">
        <f t="array" ref="E37">SUMPRODUCT(--(ISNUMBER(SEARCH("Estonia",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37" s="242" cm="1">
        <f t="array" ref="F37">SUMPRODUCT(--(ISNUMBER(SEARCH("Estonia",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37" s="242" cm="1">
        <f t="array" ref="G37">SUMPRODUCT(--(ISNUMBER(SEARCH("Estonia",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37" s="242" cm="1">
        <f t="array" ref="H37">SUMPRODUCT(--(ISNUMBER(SEARCH("Estonia",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7" s="242" cm="1">
        <f t="array" ref="I37">SUMPRODUCT(--(ISNUMBER(SEARCH("Estonia", 'Inventory - Public Private FMS'!$J$17:$J$1792))
* ((ISNUMBER(SEARCH("Eggs", 'Inventory - Public Private FMS'!$F$17:$F$1792)))
+ (ISNUMBER(SEARCH("All food commodities", 'Inventory - Public Private FMS'!$F$17:$F$1792))) &gt; 0)))</f>
        <v>0</v>
      </c>
      <c r="J37" s="242" cm="1">
        <f t="array" ref="J37">SUMPRODUCT(--(ISNUMBER(SEARCH("Estonia", 'Inventory - Public Private FMS'!$J$17:$J$1792))
* ((ISNUMBER(SEARCH("Fish", 'Inventory - Public Private FMS'!$F$17:$F$1792)))
+ (ISNUMBER(SEARCH("All food commodities", 'Inventory - Public Private FMS'!$F$17:$F$1792))) &gt; 0)))</f>
        <v>0</v>
      </c>
      <c r="K37" s="242" cm="1">
        <f t="array" ref="K37">SUMPRODUCT(--(ISNUMBER(SEARCH("Estonia", 'Inventory - Public Private FMS'!$J$17:$J$1792))
* ((ISNUMBER(SEARCH("Cereals", 'Inventory - Public Private FMS'!$F$17:$F$1792)))
+ (ISNUMBER(SEARCH("All food commodities", 'Inventory - Public Private FMS'!$F$17:$F$1792))) &gt; 0)))</f>
        <v>0</v>
      </c>
      <c r="L37" s="221"/>
      <c r="M37" s="242" cm="1">
        <f t="array" ref="M37">SUMPRODUCT(--(ISNUMBER(SEARCH("Estonia", 'Inventory - Public Private FMS'!$J$17:$J$1792))
* ((ISNUMBER(SEARCH("Primary Production", 'Inventory - Public Private FMS'!$N$17:$N$1792)))
+ (ISNUMBER(SEARCH("All Stages", 'Inventory - Public Private FMS'!$N$17:$N$1792))) &gt; 0)))</f>
        <v>0</v>
      </c>
      <c r="N37" s="242" cm="1">
        <f t="array" ref="N37">SUMPRODUCT(--(ISNUMBER(SEARCH("Estonia", 'Inventory - Public Private FMS'!$J$17:$J$1792))
* ((ISNUMBER(SEARCH("Processing &amp; Manufacturing", 'Inventory - Public Private FMS'!$N$17:$N$1792)))
+ (ISNUMBER(SEARCH("All Stages", 'Inventory - Public Private FMS'!$N$17:$N$1792))) &gt; 0)))</f>
        <v>0</v>
      </c>
      <c r="O37" s="242" cm="1">
        <f t="array" ref="O37">SUMPRODUCT(--(ISNUMBER(SEARCH("Estonia", 'Inventory - Public Private FMS'!$J$17:$J$1792))
* ((ISNUMBER(SEARCH("Retail", 'Inventory - Public Private FMS'!$N$17:$N$1792)))
+ (ISNUMBER(SEARCH("All Stages", 'Inventory - Public Private FMS'!$N$17:$N$1792))) &gt; 0)))</f>
        <v>0</v>
      </c>
      <c r="P37" s="242" cm="1">
        <f t="array" ref="P37">SUMPRODUCT(--(ISNUMBER(SEARCH("Estonia", 'Inventory - Public Private FMS'!$J$17:$J$1792))
* ((ISNUMBER(SEARCH("Food services", 'Inventory - Public Private FMS'!$N$17:$N$1792)))
+ (ISNUMBER(SEARCH("All Stages", 'Inventory - Public Private FMS'!$N$17:$N$1792))) &gt; 0)))</f>
        <v>0</v>
      </c>
      <c r="Q37" s="221"/>
      <c r="R37" s="243">
        <f>COUNTIF('Inventory - Public Private FMS'!$J$17:$J$1792, "*Estonia*")</f>
        <v>0</v>
      </c>
    </row>
    <row r="38" spans="2:18">
      <c r="B38" s="244"/>
      <c r="C38" s="126" t="s">
        <v>737</v>
      </c>
      <c r="D38" s="246" cm="1">
        <f t="array" ref="D38">SUMPRODUCT(--(ISNUMBER(SEARCH("Estonia",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0</v>
      </c>
      <c r="E38" s="247" cm="1">
        <f t="array" ref="E38">SUMPRODUCT(--(ISNUMBER(SEARCH("Estonia",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38" s="247" cm="1">
        <f t="array" ref="F38">SUMPRODUCT(--(ISNUMBER(SEARCH("Estonia",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38" s="247" cm="1">
        <f t="array" ref="G38">SUMPRODUCT(--(ISNUMBER(SEARCH("Estonia",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38" s="247" cm="1">
        <f t="array" ref="H38">SUMPRODUCT(--(ISNUMBER(SEARCH("Estonia",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8" s="247" cm="1">
        <f t="array" ref="I38">SUMPRODUCT(--(ISNUMBER(SEARCH("Estonia", 'Inventory - Public Private FMS'!$J$17:$J$1792))
* ISNUMBER(SEARCH("Public", 'Inventory - Public Private FMS'!$L$17:$L$1792))
* ((ISNUMBER(SEARCH("Eggs", 'Inventory - Public Private FMS'!$F$17:$F$1792)))
+ (ISNUMBER(SEARCH("All food commodities", 'Inventory - Public Private FMS'!$F$17:$F$1792))) &gt; 0)))</f>
        <v>0</v>
      </c>
      <c r="J38" s="247" cm="1">
        <f t="array" ref="J38">SUMPRODUCT(--(ISNUMBER(SEARCH("Estonia", 'Inventory - Public Private FMS'!$J$17:$J$1792))
* ISNUMBER(SEARCH("Public", 'Inventory - Public Private FMS'!$L$17:$L$1792))
* ((ISNUMBER(SEARCH("Fish", 'Inventory - Public Private FMS'!$F$17:$F$1792)))
+ (ISNUMBER(SEARCH("All food commodities", 'Inventory - Public Private FMS'!$F$17:$F$1792))) &gt; 0)))</f>
        <v>0</v>
      </c>
      <c r="K38" s="247" cm="1">
        <f t="array" ref="K38">SUMPRODUCT(--(ISNUMBER(SEARCH("Estonia", 'Inventory - Public Private FMS'!$J$17:$J$1792))
* ISNUMBER(SEARCH("Public", 'Inventory - Public Private FMS'!$L$17:$L$1792))
* ((ISNUMBER(SEARCH("Cereals", 'Inventory - Public Private FMS'!$F$17:$F$1792)))
+ (ISNUMBER(SEARCH("All food commodities", 'Inventory - Public Private FMS'!$F$17:$F$1792))) &gt; 0)))</f>
        <v>0</v>
      </c>
      <c r="L38" s="224"/>
      <c r="M38" s="247" cm="1">
        <f t="array" ref="M38">SUMPRODUCT(--(ISNUMBER(SEARCH("Estonia", 'Inventory - Public Private FMS'!$J$17:$J$1792))
* ISNUMBER(SEARCH("Public", 'Inventory - Public Private FMS'!$L$17:$L$1792))
* ((ISNUMBER(SEARCH("Primary Production", 'Inventory - Public Private FMS'!$N$17:$N$1792)))
+ (ISNUMBER(SEARCH("All Stages", 'Inventory - Public Private FMS'!$N$17:$N$1792))) &gt; 0)))</f>
        <v>0</v>
      </c>
      <c r="N38" s="247" cm="1">
        <f t="array" ref="N38">SUMPRODUCT(--(ISNUMBER(SEARCH("Estonia", 'Inventory - Public Private FMS'!$J$17:$J$1792))
* ISNUMBER(SEARCH("Public", 'Inventory - Public Private FMS'!$L$17:$L$1792))
* ((ISNUMBER(SEARCH("Processing &amp; Manufacturing", 'Inventory - Public Private FMS'!$N$17:$N$1792)))
+ (ISNUMBER(SEARCH("All Stages", 'Inventory - Public Private FMS'!$N$17:$N$1792))) &gt; 0)))</f>
        <v>0</v>
      </c>
      <c r="O38" s="247" cm="1">
        <f t="array" ref="O38">SUMPRODUCT(--(ISNUMBER(SEARCH("Estonia", 'Inventory - Public Private FMS'!$J$17:$J$1792))
* ISNUMBER(SEARCH("Public", 'Inventory - Public Private FMS'!$L$17:$L$1792))
* ((ISNUMBER(SEARCH("Retail", 'Inventory - Public Private FMS'!$N$17:$N$1792)))
+ (ISNUMBER(SEARCH("All Stages", 'Inventory - Public Private FMS'!$N$17:$N$1792))) &gt; 0)))</f>
        <v>0</v>
      </c>
      <c r="P38" s="247" cm="1">
        <f t="array" ref="P38">SUMPRODUCT(--(ISNUMBER(SEARCH("Estonia", 'Inventory - Public Private FMS'!$J$17:$J$1792))
* ISNUMBER(SEARCH("Public", 'Inventory - Public Private FMS'!$L$17:$L$1792))
* ((ISNUMBER(SEARCH("Food services", 'Inventory - Public Private FMS'!$N$17:$N$1792)))
+ (ISNUMBER(SEARCH("All Stages", 'Inventory - Public Private FMS'!$N$17:$N$1792))) &gt; 0)))</f>
        <v>0</v>
      </c>
      <c r="Q38" s="224"/>
      <c r="R38" s="246" cm="1">
        <f t="array" ref="R38">SUMPRODUCT(--(ISNUMBER(SEARCH("Estonia",'Inventory - Public Private FMS'!$J$17:$J$1792))
*(ISNUMBER(SEARCH("Public",'Inventory - Public Private FMS'!$L$17:$L$1792)))&gt;0))</f>
        <v>0</v>
      </c>
    </row>
    <row r="39" spans="2:18">
      <c r="B39" s="248"/>
      <c r="C39" s="126" t="s">
        <v>74</v>
      </c>
      <c r="D39" s="246" cm="1">
        <f t="array" ref="D39">SUMPRODUCT(--(ISNUMBER(SEARCH("Estonia",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39" s="247" cm="1">
        <f t="array" ref="E39">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39" s="247" cm="1">
        <f t="array" ref="F39">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39" s="247" cm="1">
        <f t="array" ref="G39">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39" s="247" cm="1">
        <f t="array" ref="H39">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39" s="247" cm="1">
        <f t="array" ref="I39">SUMPRODUCT(--(ISNUMBER(SEARCH("Estonia", 'Inventory - Public Private FMS'!$J$17:$J$1792))
* ISNUMBER(SEARCH("Private", 'Inventory - Public Private FMS'!$L$17:$L$1792))
* ((ISNUMBER(SEARCH("Eggs", 'Inventory - Public Private FMS'!$F$17:$F$1792)))
+ (ISNUMBER(SEARCH("All food commodities", 'Inventory - Public Private FMS'!$F$17:$F$1792))) &gt; 0)))</f>
        <v>0</v>
      </c>
      <c r="J39" s="247" cm="1">
        <f t="array" ref="J39">SUMPRODUCT(--(ISNUMBER(SEARCH("Estonia", 'Inventory - Public Private FMS'!$J$17:$J$1792))
* ISNUMBER(SEARCH("Private", 'Inventory - Public Private FMS'!$L$17:$L$1792))
* ((ISNUMBER(SEARCH("Fish", 'Inventory - Public Private FMS'!$F$17:$F$1792)))
+ (ISNUMBER(SEARCH("All food commodities", 'Inventory - Public Private FMS'!$F$17:$F$1792))) &gt; 0)))</f>
        <v>0</v>
      </c>
      <c r="K39" s="247" cm="1">
        <f t="array" ref="K39">SUMPRODUCT(--(ISNUMBER(SEARCH("Estonia", 'Inventory - Public Private FMS'!$J$17:$J$1792))
* ISNUMBER(SEARCH("Private", 'Inventory - Public Private FMS'!$L$17:$L$1792))
* ((ISNUMBER(SEARCH("Cereals", 'Inventory - Public Private FMS'!$F$17:$F$1792)))
+ (ISNUMBER(SEARCH("All food commodities", 'Inventory - Public Private FMS'!$F$17:$F$1792))) &gt; 0)))</f>
        <v>0</v>
      </c>
      <c r="L39" s="224"/>
      <c r="M39" s="247" cm="1">
        <f t="array" ref="M39">SUMPRODUCT(--(ISNUMBER(SEARCH("Estonia", 'Inventory - Public Private FMS'!$J$17:$J$1792))
* ISNUMBER(SEARCH("Private", 'Inventory - Public Private FMS'!$L$17:$L$1792))
* ((ISNUMBER(SEARCH("Primary Production", 'Inventory - Public Private FMS'!$N$17:$N$1792)))
+ (ISNUMBER(SEARCH("All Stages", 'Inventory - Public Private FMS'!$N$17:$N$1792))) &gt; 0)))</f>
        <v>0</v>
      </c>
      <c r="N39" s="247" cm="1">
        <f t="array" ref="N39">SUMPRODUCT(--(ISNUMBER(SEARCH("Estonia", 'Inventory - Public Private FMS'!$J$17:$J$1792))
* ISNUMBER(SEARCH("Private", 'Inventory - Public Private FMS'!$L$17:$L$1792))
* ((ISNUMBER(SEARCH("Processing &amp; Manufacturing", 'Inventory - Public Private FMS'!$N$17:$N$1792)))
+ (ISNUMBER(SEARCH("All Stages", 'Inventory - Public Private FMS'!$N$17:$N$1792))) &gt; 0)))</f>
        <v>0</v>
      </c>
      <c r="O39" s="247" cm="1">
        <f t="array" ref="O39">SUMPRODUCT(--(ISNUMBER(SEARCH("Estonia", 'Inventory - Public Private FMS'!$J$17:$J$1792))
* ISNUMBER(SEARCH("Private", 'Inventory - Public Private FMS'!$L$17:$L$1792))
* ((ISNUMBER(SEARCH("Retail", 'Inventory - Public Private FMS'!$N$17:$N$1792)))
+ (ISNUMBER(SEARCH("All Stages", 'Inventory - Public Private FMS'!$N$17:$N$1792))) &gt; 0)))</f>
        <v>0</v>
      </c>
      <c r="P39" s="247" cm="1">
        <f t="array" ref="P39">SUMPRODUCT(--(ISNUMBER(SEARCH("Estonia", 'Inventory - Public Private FMS'!$J$17:$J$1792))
* ISNUMBER(SEARCH("Private", 'Inventory - Public Private FMS'!$L$17:$L$1792))
* ((ISNUMBER(SEARCH("Food services", 'Inventory - Public Private FMS'!$N$17:$N$1792)))
+ (ISNUMBER(SEARCH("All Stages", 'Inventory - Public Private FMS'!$N$17:$N$1792))) &gt; 0)))</f>
        <v>0</v>
      </c>
      <c r="Q39" s="224"/>
      <c r="R39" s="246" cm="1">
        <f t="array" ref="R39">SUMPRODUCT(--(ISNUMBER(SEARCH("Estonia",'Inventory - Public Private FMS'!$J$17:$J$1792))
*(ISNUMBER(SEARCH("Private",'Inventory - Public Private FMS'!$L$17:$L$1792)))&gt;0))</f>
        <v>0</v>
      </c>
    </row>
    <row r="40" spans="2:18">
      <c r="B40" s="248"/>
      <c r="C40" s="249" t="s">
        <v>3941</v>
      </c>
      <c r="D40" s="246">
        <f t="shared" ref="D40:K40" si="8">SUM(D38:D39)</f>
        <v>0</v>
      </c>
      <c r="E40" s="246">
        <f t="shared" si="8"/>
        <v>0</v>
      </c>
      <c r="F40" s="246">
        <f t="shared" si="8"/>
        <v>0</v>
      </c>
      <c r="G40" s="246">
        <f t="shared" si="8"/>
        <v>0</v>
      </c>
      <c r="H40" s="246">
        <f t="shared" si="8"/>
        <v>0</v>
      </c>
      <c r="I40" s="246">
        <f t="shared" si="8"/>
        <v>0</v>
      </c>
      <c r="J40" s="246">
        <f t="shared" si="8"/>
        <v>0</v>
      </c>
      <c r="K40" s="246">
        <f t="shared" si="8"/>
        <v>0</v>
      </c>
      <c r="L40" s="224"/>
      <c r="M40" s="246">
        <f>SUM(M38:M39)</f>
        <v>0</v>
      </c>
      <c r="N40" s="246">
        <f>SUM(N38:N39)</f>
        <v>0</v>
      </c>
      <c r="O40" s="246">
        <f>SUM(O38:O39)</f>
        <v>0</v>
      </c>
      <c r="P40" s="246">
        <f>SUM(P38:P39)</f>
        <v>0</v>
      </c>
      <c r="Q40" s="224"/>
      <c r="R40" s="246">
        <f>SUM(R38:R39)</f>
        <v>0</v>
      </c>
    </row>
    <row r="41" spans="2:18">
      <c r="B41" s="240" t="s">
        <v>3273</v>
      </c>
      <c r="C41" s="253" t="s">
        <v>3916</v>
      </c>
      <c r="D41" s="242" cm="1">
        <f t="array" ref="D41">SUMPRODUCT(--(ISNUMBER(SEARCH("Finland", 'Inventory - Public Private FMS'!$J$17:$J$1792))
* ((ISNUMBER(SEARCH("Fruits", 'Inventory - Public Private FMS'!$F$17:$F$1792)))
+ (ISNUMBER(SEARCH("Vegetables", 'Inventory - Public Private FMS'!$F$17:$F$1792)))
+ (ISNUMBER(SEARCH("All food commodities", 'Inventory - Public Private FMS'!$F$17:$F$1792))) &gt; 0)))</f>
        <v>2</v>
      </c>
      <c r="E41" s="242" cm="1">
        <f t="array" ref="E41">SUMPRODUCT(--(ISNUMBER(SEARCH("Finland",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41" s="242" cm="1">
        <f t="array" ref="F41">SUMPRODUCT(--(ISNUMBER(SEARCH("Finland",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41" s="242" cm="1">
        <f t="array" ref="G41">SUMPRODUCT(--(ISNUMBER(SEARCH("Finland",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v>
      </c>
      <c r="H41" s="242" cm="1">
        <f t="array" ref="H41">SUMPRODUCT(--(ISNUMBER(SEARCH("Finland",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41" s="242" cm="1">
        <f t="array" ref="I41">SUMPRODUCT(--(ISNUMBER(SEARCH("Finland", 'Inventory - Public Private FMS'!$J$17:$J$1792))
* ((ISNUMBER(SEARCH("Eggs", 'Inventory - Public Private FMS'!$F$17:$F$1792)))
+ (ISNUMBER(SEARCH("All food commodities", 'Inventory - Public Private FMS'!$F$17:$F$1792))) &gt; 0)))</f>
        <v>0</v>
      </c>
      <c r="J41" s="242" cm="1">
        <f t="array" ref="J41">SUMPRODUCT(--(ISNUMBER(SEARCH("Finland", 'Inventory - Public Private FMS'!$J$17:$J$1792))
* ((ISNUMBER(SEARCH("Fish", 'Inventory - Public Private FMS'!$F$17:$F$1792)))
+ (ISNUMBER(SEARCH("All food commodities", 'Inventory - Public Private FMS'!$F$17:$F$1792))) &gt; 0)))</f>
        <v>2</v>
      </c>
      <c r="K41" s="242" cm="1">
        <f t="array" ref="K41">SUMPRODUCT(--(ISNUMBER(SEARCH("Finland", 'Inventory - Public Private FMS'!$J$17:$J$1792))
* ((ISNUMBER(SEARCH("Cereals", 'Inventory - Public Private FMS'!$F$17:$F$1792)))
+ (ISNUMBER(SEARCH("All food commodities", 'Inventory - Public Private FMS'!$F$17:$F$1792))) &gt; 0)))</f>
        <v>0</v>
      </c>
      <c r="L41" s="221"/>
      <c r="M41" s="242" cm="1">
        <f t="array" ref="M41">SUMPRODUCT(--(ISNUMBER(SEARCH("Finland", 'Inventory - Public Private FMS'!$J$17:$J$1792))
* ((ISNUMBER(SEARCH("Primary Production", 'Inventory - Public Private FMS'!$N$17:$N$1792)))
+ (ISNUMBER(SEARCH("All Stages", 'Inventory - Public Private FMS'!$N$17:$N$1792))) &gt; 0)))</f>
        <v>5</v>
      </c>
      <c r="N41" s="242" cm="1">
        <f t="array" ref="N41">SUMPRODUCT(--(ISNUMBER(SEARCH("Finland", 'Inventory - Public Private FMS'!$J$17:$J$1792))
* ((ISNUMBER(SEARCH("Processing &amp; Manufacturing", 'Inventory - Public Private FMS'!$N$17:$N$1792)))
+ (ISNUMBER(SEARCH("All Stages", 'Inventory - Public Private FMS'!$N$17:$N$1792))) &gt; 0)))</f>
        <v>5</v>
      </c>
      <c r="O41" s="242" cm="1">
        <f t="array" ref="O41">SUMPRODUCT(--(ISNUMBER(SEARCH("Finland", 'Inventory - Public Private FMS'!$J$17:$J$1792))
* ((ISNUMBER(SEARCH("Retail", 'Inventory - Public Private FMS'!$N$17:$N$1792)))
+ (ISNUMBER(SEARCH("All Stages", 'Inventory - Public Private FMS'!$N$17:$N$1792))) &gt; 0)))</f>
        <v>0</v>
      </c>
      <c r="P41" s="242" cm="1">
        <f t="array" ref="P41">SUMPRODUCT(--(ISNUMBER(SEARCH("Finland", 'Inventory - Public Private FMS'!$J$17:$J$1792))
* ((ISNUMBER(SEARCH("Food services", 'Inventory - Public Private FMS'!$N$17:$N$1792)))
+ (ISNUMBER(SEARCH("All Stages", 'Inventory - Public Private FMS'!$N$17:$N$1792))) &gt; 0)))</f>
        <v>0</v>
      </c>
      <c r="Q41" s="221"/>
      <c r="R41" s="243">
        <f>COUNTIF('Inventory - Public Private FMS'!$J$17:$J$1792, "*Finland*")</f>
        <v>5</v>
      </c>
    </row>
    <row r="42" spans="2:18">
      <c r="B42" s="244"/>
      <c r="C42" s="126" t="s">
        <v>737</v>
      </c>
      <c r="D42" s="246" cm="1">
        <f t="array" ref="D42">SUMPRODUCT(--(ISNUMBER(SEARCH("Finland",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2</v>
      </c>
      <c r="E42" s="247" cm="1">
        <f t="array" ref="E42">SUMPRODUCT(--(ISNUMBER(SEARCH("Finland",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42" s="247" cm="1">
        <f t="array" ref="F42">SUMPRODUCT(--(ISNUMBER(SEARCH("Finland",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42" s="247" cm="1">
        <f t="array" ref="G42">SUMPRODUCT(--(ISNUMBER(SEARCH("Finland",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H42" s="247" cm="1">
        <f t="array" ref="H42">SUMPRODUCT(--(ISNUMBER(SEARCH("Finland",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42" s="247" cm="1">
        <f t="array" ref="I42">SUMPRODUCT(--(ISNUMBER(SEARCH("Finland", 'Inventory - Public Private FMS'!$J$17:$J$1792))
* ISNUMBER(SEARCH("Public", 'Inventory - Public Private FMS'!$L$17:$L$1792))
* ((ISNUMBER(SEARCH("Eggs", 'Inventory - Public Private FMS'!$F$17:$F$1792)))
+ (ISNUMBER(SEARCH("All food commodities", 'Inventory - Public Private FMS'!$F$17:$F$1792))) &gt; 0)))</f>
        <v>0</v>
      </c>
      <c r="J42" s="247" cm="1">
        <f t="array" ref="J42">SUMPRODUCT(--(ISNUMBER(SEARCH("Finland", 'Inventory - Public Private FMS'!$J$17:$J$1792))
* ISNUMBER(SEARCH("Public", 'Inventory - Public Private FMS'!$L$17:$L$1792))
* ((ISNUMBER(SEARCH("Fish", 'Inventory - Public Private FMS'!$F$17:$F$1792)))
+ (ISNUMBER(SEARCH("All food commodities", 'Inventory - Public Private FMS'!$F$17:$F$1792))) &gt; 0)))</f>
        <v>2</v>
      </c>
      <c r="K42" s="247" cm="1">
        <f t="array" ref="K42">SUMPRODUCT(--(ISNUMBER(SEARCH("Finland", 'Inventory - Public Private FMS'!$J$17:$J$1792))
* ISNUMBER(SEARCH("Public", 'Inventory - Public Private FMS'!$L$17:$L$1792))
* ((ISNUMBER(SEARCH("Cereals", 'Inventory - Public Private FMS'!$F$17:$F$1792)))
+ (ISNUMBER(SEARCH("All food commodities", 'Inventory - Public Private FMS'!$F$17:$F$1792))) &gt; 0)))</f>
        <v>0</v>
      </c>
      <c r="L42" s="224"/>
      <c r="M42" s="247" cm="1">
        <f t="array" ref="M42">SUMPRODUCT(--(ISNUMBER(SEARCH("Finland", 'Inventory - Public Private FMS'!$J$17:$J$1792))
* ISNUMBER(SEARCH("Public", 'Inventory - Public Private FMS'!$L$17:$L$1792))
* ((ISNUMBER(SEARCH("Primary Production", 'Inventory - Public Private FMS'!$N$17:$N$1792)))
+ (ISNUMBER(SEARCH("All Stages", 'Inventory - Public Private FMS'!$N$17:$N$1792))) &gt; 0)))</f>
        <v>5</v>
      </c>
      <c r="N42" s="247" cm="1">
        <f t="array" ref="N42">SUMPRODUCT(--(ISNUMBER(SEARCH("Finland", 'Inventory - Public Private FMS'!$J$17:$J$1792))
* ISNUMBER(SEARCH("Public", 'Inventory - Public Private FMS'!$L$17:$L$1792))
* ((ISNUMBER(SEARCH("Processing &amp; Manufacturing", 'Inventory - Public Private FMS'!$N$17:$N$1792)))
+ (ISNUMBER(SEARCH("All Stages", 'Inventory - Public Private FMS'!$N$17:$N$1792))) &gt; 0)))</f>
        <v>5</v>
      </c>
      <c r="O42" s="247" cm="1">
        <f t="array" ref="O42">SUMPRODUCT(--(ISNUMBER(SEARCH("Finland", 'Inventory - Public Private FMS'!$J$17:$J$1792))
* ISNUMBER(SEARCH("Public", 'Inventory - Public Private FMS'!$L$17:$L$1792))
* ((ISNUMBER(SEARCH("Retail", 'Inventory - Public Private FMS'!$N$17:$N$1792)))
+ (ISNUMBER(SEARCH("All Stages", 'Inventory - Public Private FMS'!$N$17:$N$1792))) &gt; 0)))</f>
        <v>0</v>
      </c>
      <c r="P42" s="247" cm="1">
        <f t="array" ref="P42">SUMPRODUCT(--(ISNUMBER(SEARCH("Finland", 'Inventory - Public Private FMS'!$J$17:$J$1792))
* ISNUMBER(SEARCH("Public", 'Inventory - Public Private FMS'!$L$17:$L$1792))
* ((ISNUMBER(SEARCH("Food services", 'Inventory - Public Private FMS'!$N$17:$N$1792)))
+ (ISNUMBER(SEARCH("All Stages", 'Inventory - Public Private FMS'!$N$17:$N$1792))) &gt; 0)))</f>
        <v>0</v>
      </c>
      <c r="Q42" s="224"/>
      <c r="R42" s="246" cm="1">
        <f t="array" ref="R42">SUMPRODUCT(--(ISNUMBER(SEARCH("Finland",'Inventory - Public Private FMS'!$J$17:$J$1792))
*(ISNUMBER(SEARCH("Public",'Inventory - Public Private FMS'!$L$17:$L$1792)))&gt;0))</f>
        <v>5</v>
      </c>
    </row>
    <row r="43" spans="2:18">
      <c r="B43" s="248"/>
      <c r="C43" s="126" t="s">
        <v>74</v>
      </c>
      <c r="D43" s="246" cm="1">
        <f t="array" ref="D43">SUMPRODUCT(--(ISNUMBER(SEARCH("Finland",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43" s="247" cm="1">
        <f t="array" ref="E43">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43" s="247" cm="1">
        <f t="array" ref="F43">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43" s="247" cm="1">
        <f t="array" ref="G43">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43" s="247" cm="1">
        <f t="array" ref="H43">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43" s="247" cm="1">
        <f t="array" ref="I43">SUMPRODUCT(--(ISNUMBER(SEARCH("Finland", 'Inventory - Public Private FMS'!$J$17:$J$1792))
* ISNUMBER(SEARCH("Private", 'Inventory - Public Private FMS'!$L$17:$L$1792))
* ((ISNUMBER(SEARCH("Eggs", 'Inventory - Public Private FMS'!$F$17:$F$1792)))
+ (ISNUMBER(SEARCH("All food commodities", 'Inventory - Public Private FMS'!$F$17:$F$1792))) &gt; 0)))</f>
        <v>0</v>
      </c>
      <c r="J43" s="247" cm="1">
        <f t="array" ref="J43">SUMPRODUCT(--(ISNUMBER(SEARCH("Finland", 'Inventory - Public Private FMS'!$J$17:$J$1792))
* ISNUMBER(SEARCH("Private", 'Inventory - Public Private FMS'!$L$17:$L$1792))
* ((ISNUMBER(SEARCH("Fish", 'Inventory - Public Private FMS'!$F$17:$F$1792)))
+ (ISNUMBER(SEARCH("All food commodities", 'Inventory - Public Private FMS'!$F$17:$F$1792))) &gt; 0)))</f>
        <v>0</v>
      </c>
      <c r="K43" s="247" cm="1">
        <f t="array" ref="K43">SUMPRODUCT(--(ISNUMBER(SEARCH("Finland", 'Inventory - Public Private FMS'!$J$17:$J$1792))
* ISNUMBER(SEARCH("Private", 'Inventory - Public Private FMS'!$L$17:$L$1792))
* ((ISNUMBER(SEARCH("Cereals", 'Inventory - Public Private FMS'!$F$17:$F$1792)))
+ (ISNUMBER(SEARCH("All food commodities", 'Inventory - Public Private FMS'!$F$17:$F$1792))) &gt; 0)))</f>
        <v>0</v>
      </c>
      <c r="L43" s="224"/>
      <c r="M43" s="247" cm="1">
        <f t="array" ref="M43">SUMPRODUCT(--(ISNUMBER(SEARCH("Finland", 'Inventory - Public Private FMS'!$J$17:$J$1792))
* ISNUMBER(SEARCH("Private", 'Inventory - Public Private FMS'!$L$17:$L$1792))
* ((ISNUMBER(SEARCH("Primary Production", 'Inventory - Public Private FMS'!$N$17:$N$1792)))
+ (ISNUMBER(SEARCH("All Stages", 'Inventory - Public Private FMS'!$N$17:$N$1792))) &gt; 0)))</f>
        <v>0</v>
      </c>
      <c r="N43" s="247" cm="1">
        <f t="array" ref="N43">SUMPRODUCT(--(ISNUMBER(SEARCH("Finland", 'Inventory - Public Private FMS'!$J$17:$J$1792))
* ISNUMBER(SEARCH("Private", 'Inventory - Public Private FMS'!$L$17:$L$1792))
* ((ISNUMBER(SEARCH("Processing &amp; Manufacturing", 'Inventory - Public Private FMS'!$N$17:$N$1792)))
+ (ISNUMBER(SEARCH("All Stages", 'Inventory - Public Private FMS'!$N$17:$N$1792))) &gt; 0)))</f>
        <v>0</v>
      </c>
      <c r="O43" s="247" cm="1">
        <f t="array" ref="O43">SUMPRODUCT(--(ISNUMBER(SEARCH("Finland", 'Inventory - Public Private FMS'!$J$17:$J$1792))
* ISNUMBER(SEARCH("Private", 'Inventory - Public Private FMS'!$L$17:$L$1792))
* ((ISNUMBER(SEARCH("Retail", 'Inventory - Public Private FMS'!$N$17:$N$1792)))
+ (ISNUMBER(SEARCH("All Stages", 'Inventory - Public Private FMS'!$N$17:$N$1792))) &gt; 0)))</f>
        <v>0</v>
      </c>
      <c r="P43" s="247" cm="1">
        <f t="array" ref="P43">SUMPRODUCT(--(ISNUMBER(SEARCH("Finland", 'Inventory - Public Private FMS'!$J$17:$J$1792))
* ISNUMBER(SEARCH("Private", 'Inventory - Public Private FMS'!$L$17:$L$1792))
* ((ISNUMBER(SEARCH("Food services", 'Inventory - Public Private FMS'!$N$17:$N$1792)))
+ (ISNUMBER(SEARCH("All Stages", 'Inventory - Public Private FMS'!$N$17:$N$1792))) &gt; 0)))</f>
        <v>0</v>
      </c>
      <c r="Q43" s="224"/>
      <c r="R43" s="246" cm="1">
        <f t="array" ref="R43">SUMPRODUCT(--(ISNUMBER(SEARCH("Finland",'Inventory - Public Private FMS'!$J$17:$J$1792))
*(ISNUMBER(SEARCH("Private",'Inventory - Public Private FMS'!$L$17:$L$1792)))&gt;0))</f>
        <v>0</v>
      </c>
    </row>
    <row r="44" spans="2:18">
      <c r="B44" s="248"/>
      <c r="C44" s="249" t="s">
        <v>3941</v>
      </c>
      <c r="D44" s="246">
        <f t="shared" ref="D44:K44" si="9">SUM(D42:D43)</f>
        <v>2</v>
      </c>
      <c r="E44" s="246">
        <f t="shared" si="9"/>
        <v>0</v>
      </c>
      <c r="F44" s="246">
        <f t="shared" si="9"/>
        <v>0</v>
      </c>
      <c r="G44" s="246">
        <f t="shared" si="9"/>
        <v>1</v>
      </c>
      <c r="H44" s="246">
        <f t="shared" si="9"/>
        <v>1</v>
      </c>
      <c r="I44" s="246">
        <f t="shared" si="9"/>
        <v>0</v>
      </c>
      <c r="J44" s="246">
        <f t="shared" si="9"/>
        <v>2</v>
      </c>
      <c r="K44" s="246">
        <f t="shared" si="9"/>
        <v>0</v>
      </c>
      <c r="L44" s="224"/>
      <c r="M44" s="246">
        <f>SUM(M42:M43)</f>
        <v>5</v>
      </c>
      <c r="N44" s="246">
        <f>SUM(N42:N43)</f>
        <v>5</v>
      </c>
      <c r="O44" s="246">
        <f>SUM(O42:O43)</f>
        <v>0</v>
      </c>
      <c r="P44" s="246">
        <f>SUM(P42:P43)</f>
        <v>0</v>
      </c>
      <c r="Q44" s="224"/>
      <c r="R44" s="246">
        <f>SUM(R42:R43)</f>
        <v>5</v>
      </c>
    </row>
    <row r="45" spans="2:18">
      <c r="B45" s="240" t="s">
        <v>411</v>
      </c>
      <c r="C45" s="253" t="s">
        <v>3916</v>
      </c>
      <c r="D45" s="242" cm="1">
        <f t="array" ref="D45">SUMPRODUCT(--(ISNUMBER(SEARCH("France", 'Inventory - Public Private FMS'!$J$17:$J$1792))
* ((ISNUMBER(SEARCH("Fruits", 'Inventory - Public Private FMS'!$F$17:$F$1792)))
+ (ISNUMBER(SEARCH("Vegetables", 'Inventory - Public Private FMS'!$F$17:$F$1792)))
+ (ISNUMBER(SEARCH("All food commodities", 'Inventory - Public Private FMS'!$F$17:$F$1792))) &gt; 0)))</f>
        <v>110</v>
      </c>
      <c r="E45" s="242" cm="1">
        <f t="array" ref="E45">SUMPRODUCT(--(ISNUMBER(SEARCH("France",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281</v>
      </c>
      <c r="F45" s="242" cm="1">
        <f t="array" ref="F45">SUMPRODUCT(--(ISNUMBER(SEARCH("France",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74</v>
      </c>
      <c r="G45" s="242" cm="1">
        <f t="array" ref="G45">SUMPRODUCT(--(ISNUMBER(SEARCH("France",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77</v>
      </c>
      <c r="H45" s="242" cm="1">
        <f t="array" ref="H45">SUMPRODUCT(--(ISNUMBER(SEARCH("France",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368</v>
      </c>
      <c r="I45" s="242" cm="1">
        <f t="array" ref="I45">SUMPRODUCT(--(ISNUMBER(SEARCH("France", 'Inventory - Public Private FMS'!$J$17:$J$1792))
* ((ISNUMBER(SEARCH("Eggs", 'Inventory - Public Private FMS'!$F$17:$F$1792)))
+ (ISNUMBER(SEARCH("All food commodities", 'Inventory - Public Private FMS'!$F$17:$F$1792))) &gt; 0)))</f>
        <v>47</v>
      </c>
      <c r="J45" s="242" cm="1">
        <f t="array" ref="J45">SUMPRODUCT(--(ISNUMBER(SEARCH("France", 'Inventory - Public Private FMS'!$J$17:$J$1792))
* ((ISNUMBER(SEARCH("Fish", 'Inventory - Public Private FMS'!$F$17:$F$1792)))
+ (ISNUMBER(SEARCH("All food commodities", 'Inventory - Public Private FMS'!$F$17:$F$1792))) &gt; 0)))</f>
        <v>48</v>
      </c>
      <c r="K45" s="242" cm="1">
        <f t="array" ref="K45">SUMPRODUCT(--(ISNUMBER(SEARCH("France", 'Inventory - Public Private FMS'!$J$17:$J$1792))
* ((ISNUMBER(SEARCH("Cereals", 'Inventory - Public Private FMS'!$F$17:$F$1792)))
+ (ISNUMBER(SEARCH("All food commodities", '[1]Inventory T59- Public Private F'!$F$17:$F$1792))) &gt; 0)))</f>
        <v>42</v>
      </c>
      <c r="L45" s="221"/>
      <c r="M45" s="242" cm="1">
        <f t="array" ref="M45">SUMPRODUCT(--(ISNUMBER(SEARCH("France", 'Inventory - Public Private FMS'!$J$17:$J$1792))
* ((ISNUMBER(SEARCH("Primary Production", 'Inventory - Public Private FMS'!$N$17:$N$1792)))
+ (ISNUMBER(SEARCH("All Stages", 'Inventory - Public Private FMS'!$N$17:$N$1792))) &gt; 0)))</f>
        <v>481</v>
      </c>
      <c r="N45" s="242" cm="1">
        <f t="array" ref="N45">SUMPRODUCT(--(ISNUMBER(SEARCH("France", 'Inventory - Public Private FMS'!$J$17:$J$1792))
* ((ISNUMBER(SEARCH("Processing &amp; Manufacturing", 'Inventory - Public Private FMS'!$N$17:$N$1792)))
+ (ISNUMBER(SEARCH("All Stages", 'Inventory - Public Private FMS'!$N$17:$N$1792))) &gt; 0)))</f>
        <v>480</v>
      </c>
      <c r="O45" s="242" cm="1">
        <f t="array" ref="O45">SUMPRODUCT(--(ISNUMBER(SEARCH("France", 'Inventory - Public Private FMS'!$J$17:$J$1792))
* ((ISNUMBER(SEARCH("Retail", 'Inventory - Public Private FMS'!$N$17:$N$1792)))
+ (ISNUMBER(SEARCH("All Stages", 'Inventory - Public Private FMS'!$N$17:$N$1792))) &gt; 0)))</f>
        <v>362</v>
      </c>
      <c r="P45" s="242" cm="1">
        <f t="array" ref="P45">SUMPRODUCT(--(ISNUMBER(SEARCH("France", 'Inventory - Public Private FMS'!$J$17:$J$1792))
* ((ISNUMBER(SEARCH("Food services", 'Inventory - Public Private FMS'!$N$17:$N$1792)))
+ (ISNUMBER(SEARCH("All Stages", 'Inventory - Public Private FMS'!$N$17:$N$1792))) &gt; 0)))</f>
        <v>348</v>
      </c>
      <c r="Q45" s="221"/>
      <c r="R45" s="243">
        <f>COUNTIF('Inventory - Public Private FMS'!$J$17:$J$1792, "*France*")</f>
        <v>498</v>
      </c>
    </row>
    <row r="46" spans="2:18">
      <c r="B46" s="244"/>
      <c r="C46" s="126" t="s">
        <v>737</v>
      </c>
      <c r="D46" s="246" cm="1">
        <f t="array" ref="D46">SUMPRODUCT(--(ISNUMBER(SEARCH("France",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83</v>
      </c>
      <c r="E46" s="247" cm="1">
        <f t="array" ref="E46">SUMPRODUCT(--(ISNUMBER(SEARCH("France",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257</v>
      </c>
      <c r="F46" s="247" cm="1">
        <f t="array" ref="F46">SUMPRODUCT(--(ISNUMBER(SEARCH("France",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51</v>
      </c>
      <c r="G46" s="247" cm="1">
        <f t="array" ref="G46">SUMPRODUCT(--(ISNUMBER(SEARCH("France",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54</v>
      </c>
      <c r="H46" s="247" cm="1">
        <f t="array" ref="H46">SUMPRODUCT(--(ISNUMBER(SEARCH("France",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344</v>
      </c>
      <c r="I46" s="247" cm="1">
        <f t="array" ref="I46">SUMPRODUCT(--(ISNUMBER(SEARCH("France", 'Inventory - Public Private FMS'!$J$17:$J$1792))
* ISNUMBER(SEARCH("Public", 'Inventory - Public Private FMS'!$L$17:$L$1792))
* ((ISNUMBER(SEARCH("Eggs", 'Inventory - Public Private FMS'!$F$17:$F$1792)))
+ (ISNUMBER(SEARCH("All food commodities", 'Inventory - Public Private FMS'!$F$17:$F$1792))) &gt; 0)))</f>
        <v>23</v>
      </c>
      <c r="J46" s="247" cm="1">
        <f t="array" ref="J46">SUMPRODUCT(--(ISNUMBER(SEARCH("France", 'Inventory - Public Private FMS'!$J$17:$J$1792))
* ISNUMBER(SEARCH("Public", 'Inventory - Public Private FMS'!$L$17:$L$1792))
* ((ISNUMBER(SEARCH("Fish", 'Inventory - Public Private FMS'!$F$17:$F$1792)))
+ (ISNUMBER(SEARCH("All food commodities", 'Inventory - Public Private FMS'!$F$17:$F$1792))) &gt; 0)))</f>
        <v>28</v>
      </c>
      <c r="K46" s="247" cm="1">
        <f t="array" ref="K46">SUMPRODUCT(--(ISNUMBER(SEARCH("France", 'Inventory - Public Private FMS'!$J$17:$J$1792))
* ISNUMBER(SEARCH("Public", 'Inventory - Public Private FMS'!$L$17:$L$1792))
* ((ISNUMBER(SEARCH("Cereals", 'Inventory - Public Private FMS'!$F$17:$F$1792)))
+ (ISNUMBER(SEARCH("All food commodities", 'Inventory - Public Private FMS'!$F$17:$F$1792))) &gt; 0)))</f>
        <v>21</v>
      </c>
      <c r="L46" s="224"/>
      <c r="M46" s="247" cm="1">
        <f t="array" ref="M46">SUMPRODUCT(--(ISNUMBER(SEARCH("France", 'Inventory - Public Private FMS'!$J$17:$J$1792))
* ISNUMBER(SEARCH("Public", 'Inventory - Public Private FMS'!$L$17:$L$1792))
* ((ISNUMBER(SEARCH("Primary Production", 'Inventory - Public Private FMS'!$N$17:$N$1792)))
+ (ISNUMBER(SEARCH("All Stages", 'Inventory - Public Private FMS'!$N$17:$N$1792))) &gt; 0)))</f>
        <v>461</v>
      </c>
      <c r="N46" s="247" cm="1">
        <f t="array" ref="N46">SUMPRODUCT(--(ISNUMBER(SEARCH("France", 'Inventory - Public Private FMS'!$J$17:$J$1792))
* ISNUMBER(SEARCH("Public", 'Inventory - Public Private FMS'!$L$17:$L$1792))
* ((ISNUMBER(SEARCH("Processing &amp; Manufacturing", 'Inventory - Public Private FMS'!$N$17:$N$1792)))
+ (ISNUMBER(SEARCH("All Stages", 'Inventory - Public Private FMS'!$N$17:$N$1792))) &gt; 0)))</f>
        <v>461</v>
      </c>
      <c r="O46" s="247" cm="1">
        <f t="array" ref="O46">SUMPRODUCT(--(ISNUMBER(SEARCH("France", 'Inventory - Public Private FMS'!$J$17:$J$1792))
* ISNUMBER(SEARCH("Public", 'Inventory - Public Private FMS'!$L$17:$L$1792))
* ((ISNUMBER(SEARCH("Retail", 'Inventory - Public Private FMS'!$N$17:$N$1792)))
+ (ISNUMBER(SEARCH("All Stages", 'Inventory - Public Private FMS'!$N$17:$N$1792))) &gt; 0)))</f>
        <v>337</v>
      </c>
      <c r="P46" s="247" cm="1">
        <f t="array" ref="P46">SUMPRODUCT(--(ISNUMBER(SEARCH("France", 'Inventory - Public Private FMS'!$J$17:$J$1792))
* ISNUMBER(SEARCH("Public", 'Inventory - Public Private FMS'!$L$17:$L$1792))
* ((ISNUMBER(SEARCH("Food services", 'Inventory - Public Private FMS'!$N$17:$N$1792)))
+ (ISNUMBER(SEARCH("All Stages", 'Inventory - Public Private FMS'!$N$17:$N$1792))) &gt; 0)))</f>
        <v>334</v>
      </c>
      <c r="Q46" s="224"/>
      <c r="R46" s="246" cm="1">
        <f t="array" ref="R46">SUMPRODUCT(--(ISNUMBER(SEARCH("France",'Inventory - Public Private FMS'!$J$17:$J$1792))
*(ISNUMBER(SEARCH("Public",'Inventory - Public Private FMS'!$L$17:$L$1792)))&gt;0))</f>
        <v>464</v>
      </c>
    </row>
    <row r="47" spans="2:18">
      <c r="B47" s="248"/>
      <c r="C47" s="126" t="s">
        <v>74</v>
      </c>
      <c r="D47" s="246" cm="1">
        <f t="array" ref="D47">SUMPRODUCT(--(ISNUMBER(SEARCH("France",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27</v>
      </c>
      <c r="E47" s="247" cm="1">
        <f t="array" ref="E47">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24</v>
      </c>
      <c r="F47" s="247" cm="1">
        <f t="array" ref="F47">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23</v>
      </c>
      <c r="G47" s="247" cm="1">
        <f t="array" ref="G47">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23</v>
      </c>
      <c r="H47" s="247" cm="1">
        <f t="array" ref="H47">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24</v>
      </c>
      <c r="I47" s="247" cm="1">
        <f t="array" ref="I47">SUMPRODUCT(--(ISNUMBER(SEARCH("France", 'Inventory - Public Private FMS'!$J$17:$J$1792))
* ISNUMBER(SEARCH("Private", 'Inventory - Public Private FMS'!$L$17:$L$1792))
* ((ISNUMBER(SEARCH("Eggs", 'Inventory - Public Private FMS'!$F$17:$F$1792)))
+ (ISNUMBER(SEARCH("All food commodities", 'Inventory - Public Private FMS'!$F$17:$F$1792))) &gt; 0)))</f>
        <v>24</v>
      </c>
      <c r="J47" s="247" cm="1">
        <f t="array" ref="J47">SUMPRODUCT(--(ISNUMBER(SEARCH("France", 'Inventory - Public Private FMS'!$J$17:$J$1792))
* ISNUMBER(SEARCH("Private", 'Inventory - Public Private FMS'!$L$17:$L$1792))
* ((ISNUMBER(SEARCH("Fish", 'Inventory - Public Private FMS'!$F$17:$F$1792)))
+ (ISNUMBER(SEARCH("All food commodities", 'Inventory - Public Private FMS'!$F$17:$F$1792))) &gt; 0)))</f>
        <v>20</v>
      </c>
      <c r="K47" s="247" cm="1">
        <f t="array" ref="K47">SUMPRODUCT(--(ISNUMBER(SEARCH("France", 'Inventory - Public Private FMS'!$J$17:$J$1792))
* ISNUMBER(SEARCH("Private", 'Inventory - Public Private FMS'!$L$17:$L$1792))
* ((ISNUMBER(SEARCH("Cereals", 'Inventory - Public Private FMS'!$F$17:$F$1792)))
+ (ISNUMBER(SEARCH("All food commodities", 'Inventory - Public Private FMS'!$F$17:$F$1792))) &gt; 0)))</f>
        <v>21</v>
      </c>
      <c r="L47" s="224"/>
      <c r="M47" s="247" cm="1">
        <f t="array" ref="M47">SUMPRODUCT(--(ISNUMBER(SEARCH("France", 'Inventory - Public Private FMS'!$J$17:$J$1792))
* ISNUMBER(SEARCH("Private", 'Inventory - Public Private FMS'!$L$17:$L$1792))
* ((ISNUMBER(SEARCH("Primary Production", 'Inventory - Public Private FMS'!$N$17:$N$1792)))
+ (ISNUMBER(SEARCH("All Stages", 'Inventory - Public Private FMS'!$N$17:$N$1792))) &gt; 0)))</f>
        <v>20</v>
      </c>
      <c r="N47" s="247" cm="1">
        <f t="array" ref="N47">SUMPRODUCT(--(ISNUMBER(SEARCH("France", 'Inventory - Public Private FMS'!$J$17:$J$1792))
* ISNUMBER(SEARCH("Private", 'Inventory - Public Private FMS'!$L$17:$L$1792))
* ((ISNUMBER(SEARCH("Processing &amp; Manufacturing", 'Inventory - Public Private FMS'!$N$17:$N$1792)))
+ (ISNUMBER(SEARCH("All Stages", 'Inventory - Public Private FMS'!$N$17:$N$1792))) &gt; 0)))</f>
        <v>19</v>
      </c>
      <c r="O47" s="247" cm="1">
        <f t="array" ref="O47">SUMPRODUCT(--(ISNUMBER(SEARCH("France", 'Inventory - Public Private FMS'!$J$17:$J$1792))
* ISNUMBER(SEARCH("Private", 'Inventory - Public Private FMS'!$L$17:$L$1792))
* ((ISNUMBER(SEARCH("Retail", 'Inventory - Public Private FMS'!$N$17:$N$1792)))
+ (ISNUMBER(SEARCH("All Stages", 'Inventory - Public Private FMS'!$N$17:$N$1792))) &gt; 0)))</f>
        <v>25</v>
      </c>
      <c r="P47" s="247" cm="1">
        <f t="array" ref="P47">SUMPRODUCT(--(ISNUMBER(SEARCH("France", 'Inventory - Public Private FMS'!$J$17:$J$1792))
* ISNUMBER(SEARCH("Private", 'Inventory - Public Private FMS'!$L$17:$L$1792))
* ((ISNUMBER(SEARCH("Food services", 'Inventory - Public Private FMS'!$N$17:$N$1792)))
+ (ISNUMBER(SEARCH("All Stages", 'Inventory - Public Private FMS'!$N$17:$N$1792))) &gt; 0)))</f>
        <v>14</v>
      </c>
      <c r="Q47" s="224"/>
      <c r="R47" s="246" cm="1">
        <f t="array" ref="R47">SUMPRODUCT(--(ISNUMBER(SEARCH("France",'Inventory - Public Private FMS'!$J$17:$J$1792))
*(ISNUMBER(SEARCH("Private",'Inventory - Public Private FMS'!$L$17:$L$1792)))&gt;0))</f>
        <v>34</v>
      </c>
    </row>
    <row r="48" spans="2:18">
      <c r="B48" s="248"/>
      <c r="C48" s="249" t="s">
        <v>3941</v>
      </c>
      <c r="D48" s="246">
        <f t="shared" ref="D48:K48" si="10">SUM(D46:D47)</f>
        <v>110</v>
      </c>
      <c r="E48" s="246">
        <f t="shared" si="10"/>
        <v>281</v>
      </c>
      <c r="F48" s="246">
        <f t="shared" si="10"/>
        <v>74</v>
      </c>
      <c r="G48" s="246">
        <f t="shared" si="10"/>
        <v>77</v>
      </c>
      <c r="H48" s="246">
        <f t="shared" si="10"/>
        <v>368</v>
      </c>
      <c r="I48" s="246">
        <f t="shared" si="10"/>
        <v>47</v>
      </c>
      <c r="J48" s="246">
        <f t="shared" si="10"/>
        <v>48</v>
      </c>
      <c r="K48" s="246">
        <f t="shared" si="10"/>
        <v>42</v>
      </c>
      <c r="L48" s="224"/>
      <c r="M48" s="246">
        <f>SUM(M46:M47)</f>
        <v>481</v>
      </c>
      <c r="N48" s="246">
        <f>SUM(N46:N47)</f>
        <v>480</v>
      </c>
      <c r="O48" s="246">
        <f>SUM(O46:O47)</f>
        <v>362</v>
      </c>
      <c r="P48" s="246">
        <f>SUM(P46:P47)</f>
        <v>348</v>
      </c>
      <c r="Q48" s="224"/>
      <c r="R48" s="246">
        <f>SUM(R46:R47)</f>
        <v>498</v>
      </c>
    </row>
    <row r="49" spans="2:18">
      <c r="B49" s="240" t="s">
        <v>3282</v>
      </c>
      <c r="C49" s="253" t="s">
        <v>3916</v>
      </c>
      <c r="D49" s="242" cm="1">
        <f t="array" ref="D49">SUMPRODUCT(--(ISNUMBER(SEARCH("Greece", 'Inventory - Public Private FMS'!$J$17:$J$1792))
* ((ISNUMBER(SEARCH("Fruits", 'Inventory - Public Private FMS'!$F$17:$F$1792)))
+ (ISNUMBER(SEARCH("Vegetables", 'Inventory - Public Private FMS'!$F$17:$F$1792)))
+ (ISNUMBER(SEARCH("All food commodities", 'Inventory - Public Private FMS'!$F$17:$F$1792))) &gt; 0)))</f>
        <v>38</v>
      </c>
      <c r="E49" s="242" cm="1">
        <f t="array" ref="E49">SUMPRODUCT(--(ISNUMBER(SEARCH("Greece",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49" s="242" cm="1">
        <f t="array" ref="F49">SUMPRODUCT(--(ISNUMBER(SEARCH("Greece",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49" s="242" cm="1">
        <f t="array" ref="G49">SUMPRODUCT(--(ISNUMBER(SEARCH("Greece",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49" s="242" cm="1">
        <f t="array" ref="H49">SUMPRODUCT(--(ISNUMBER(SEARCH("Greece",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49" s="242" cm="1">
        <f t="array" ref="I49">SUMPRODUCT(--(ISNUMBER(SEARCH("Greece", 'Inventory - Public Private FMS'!$J$17:$J$1792))
* ((ISNUMBER(SEARCH("Eggs", 'Inventory - Public Private FMS'!$F$17:$F$1792)))
+ (ISNUMBER(SEARCH("All food commodities", 'Inventory - Public Private FMS'!$F$17:$F$1792))) &gt; 0)))</f>
        <v>0</v>
      </c>
      <c r="J49" s="242" cm="1">
        <f t="array" ref="J49">SUMPRODUCT(--(ISNUMBER(SEARCH("Greece", 'Inventory - Public Private FMS'!$J$17:$J$1792))
* ((ISNUMBER(SEARCH("Fish", 'Inventory - Public Private FMS'!$F$17:$F$1792)))
+ (ISNUMBER(SEARCH("All food commodities", 'Inventory - Public Private FMS'!$F$17:$F$1792))) &gt; 0)))</f>
        <v>2</v>
      </c>
      <c r="K49" s="242" cm="1">
        <f t="array" ref="K49">SUMPRODUCT(--(ISNUMBER(SEARCH("Greece", 'Inventory - Public Private FMS'!$J$17:$J$1792))
* ((ISNUMBER(SEARCH("Cereals", 'Inventory - Public Private FMS'!$F$17:$F$1792)))
+ (ISNUMBER(SEARCH("All food commodities", 'Inventory - Public Private FMS'!$F$17:$F$1792))) &gt; 0)))</f>
        <v>0</v>
      </c>
      <c r="L49" s="221"/>
      <c r="M49" s="242" cm="1">
        <f t="array" ref="M49">SUMPRODUCT(--(ISNUMBER(SEARCH("Greece", 'Inventory - Public Private FMS'!$J$17:$J$1792))
* ((ISNUMBER(SEARCH("Primary Production", 'Inventory - Public Private FMS'!$N$17:$N$1792)))
+ (ISNUMBER(SEARCH("All Stages", 'Inventory - Public Private FMS'!$N$17:$N$1792))) &gt; 0)))</f>
        <v>40</v>
      </c>
      <c r="N49" s="242" cm="1">
        <f t="array" ref="N49">SUMPRODUCT(--(ISNUMBER(SEARCH("Greece", 'Inventory - Public Private FMS'!$J$17:$J$1792))
* ((ISNUMBER(SEARCH("Processing &amp; Manufacturing", 'Inventory - Public Private FMS'!$N$17:$N$1792)))
+ (ISNUMBER(SEARCH("All Stages", 'Inventory - Public Private FMS'!$N$17:$N$1792))) &gt; 0)))</f>
        <v>40</v>
      </c>
      <c r="O49" s="242" cm="1">
        <f t="array" ref="O49">SUMPRODUCT(--(ISNUMBER(SEARCH("Greece", 'Inventory - Public Private FMS'!$J$17:$J$1792))
* ((ISNUMBER(SEARCH("Retail", 'Inventory - Public Private FMS'!$N$17:$N$1792)))
+ (ISNUMBER(SEARCH("All Stages", 'Inventory - Public Private FMS'!$N$17:$N$1792))) &gt; 0)))</f>
        <v>0</v>
      </c>
      <c r="P49" s="242" cm="1">
        <f t="array" ref="P49">SUMPRODUCT(--(ISNUMBER(SEARCH("Greece", 'Inventory - Public Private FMS'!$J$17:$J$1792))
* ((ISNUMBER(SEARCH("Food services", 'Inventory - Public Private FMS'!$N$17:$N$1792)))
+ (ISNUMBER(SEARCH("All Stages", 'Inventory - Public Private FMS'!$N$17:$N$1792))) &gt; 0)))</f>
        <v>0</v>
      </c>
      <c r="Q49" s="221"/>
      <c r="R49" s="243">
        <f>COUNTIF('Inventory - Public Private FMS'!$J$17:$J$1792, "*Greece*")</f>
        <v>40</v>
      </c>
    </row>
    <row r="50" spans="2:18">
      <c r="B50" s="244"/>
      <c r="C50" s="126" t="s">
        <v>737</v>
      </c>
      <c r="D50" s="246" cm="1">
        <f t="array" ref="D50">SUMPRODUCT(--(ISNUMBER(SEARCH("Greece",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38</v>
      </c>
      <c r="E50" s="247" cm="1">
        <f t="array" ref="E50">SUMPRODUCT(--(ISNUMBER(SEARCH("Greece",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50" s="247" cm="1">
        <f t="array" ref="F50">SUMPRODUCT(--(ISNUMBER(SEARCH("Greece",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50" s="247" cm="1">
        <f t="array" ref="G50">SUMPRODUCT(--(ISNUMBER(SEARCH("Greece",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50" s="247" cm="1">
        <f t="array" ref="H50">SUMPRODUCT(--(ISNUMBER(SEARCH("Greece",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50" s="247" cm="1">
        <f t="array" ref="I50">SUMPRODUCT(--(ISNUMBER(SEARCH("Greece", 'Inventory - Public Private FMS'!$J$17:$J$1792))
* ISNUMBER(SEARCH("Public", 'Inventory - Public Private FMS'!$L$17:$L$1792))
* ((ISNUMBER(SEARCH("Eggs", 'Inventory - Public Private FMS'!$F$17:$F$1792)))
+ (ISNUMBER(SEARCH("All food commodities", 'Inventory - Public Private FMS'!$F$17:$F$1792))) &gt; 0)))</f>
        <v>0</v>
      </c>
      <c r="J50" s="247" cm="1">
        <f t="array" ref="J50">SUMPRODUCT(--(ISNUMBER(SEARCH("Greece", 'Inventory - Public Private FMS'!$J$17:$J$1792))
* ISNUMBER(SEARCH("Public", 'Inventory - Public Private FMS'!$L$17:$L$1792))
* ((ISNUMBER(SEARCH("Fish", 'Inventory - Public Private FMS'!$F$17:$F$1792)))
+ (ISNUMBER(SEARCH("All food commodities", 'Inventory - Public Private FMS'!$F$17:$F$1792))) &gt; 0)))</f>
        <v>2</v>
      </c>
      <c r="K50" s="247" cm="1">
        <f t="array" ref="K50">SUMPRODUCT(--(ISNUMBER(SEARCH("Greece", 'Inventory - Public Private FMS'!$J$17:$J$1792))
* ISNUMBER(SEARCH("Public", 'Inventory - Public Private FMS'!$L$17:$L$1792))
* ((ISNUMBER(SEARCH("Cereals", 'Inventory - Public Private FMS'!$F$17:$F$1792)))
+ (ISNUMBER(SEARCH("All food commodities", 'Inventory - Public Private FMS'!$F$17:$F$1792))) &gt; 0)))</f>
        <v>0</v>
      </c>
      <c r="L50" s="224"/>
      <c r="M50" s="247" cm="1">
        <f t="array" ref="M50">SUMPRODUCT(--(ISNUMBER(SEARCH("Greece", 'Inventory - Public Private FMS'!$J$17:$J$1792))
* ISNUMBER(SEARCH("Public", 'Inventory - Public Private FMS'!$L$17:$L$1792))
* ((ISNUMBER(SEARCH("Primary Production", 'Inventory - Public Private FMS'!$N$17:$N$1792)))
+ (ISNUMBER(SEARCH("All Stages", 'Inventory - Public Private FMS'!$N$17:$N$1792))) &gt; 0)))</f>
        <v>40</v>
      </c>
      <c r="N50" s="247" cm="1">
        <f t="array" ref="N50">SUMPRODUCT(--(ISNUMBER(SEARCH("Greece", 'Inventory - Public Private FMS'!$J$17:$J$1792))
* ISNUMBER(SEARCH("Public", 'Inventory - Public Private FMS'!$L$17:$L$1792))
* ((ISNUMBER(SEARCH("Processing &amp; Manufacturing", 'Inventory - Public Private FMS'!$N$17:$N$1792)))
+ (ISNUMBER(SEARCH("All Stages", 'Inventory - Public Private FMS'!$N$17:$N$1792))) &gt; 0)))</f>
        <v>40</v>
      </c>
      <c r="O50" s="247" cm="1">
        <f t="array" ref="O50">SUMPRODUCT(--(ISNUMBER(SEARCH("Greece", 'Inventory - Public Private FMS'!$J$17:$J$1792))
* ISNUMBER(SEARCH("Public", 'Inventory - Public Private FMS'!$L$17:$L$1792))
* ((ISNUMBER(SEARCH("Retail", 'Inventory - Public Private FMS'!$N$17:$N$1792)))
+ (ISNUMBER(SEARCH("All Stages", 'Inventory - Public Private FMS'!$N$17:$N$1792))) &gt; 0)))</f>
        <v>0</v>
      </c>
      <c r="P50" s="247" cm="1">
        <f t="array" ref="P50">SUMPRODUCT(--(ISNUMBER(SEARCH("Greece", 'Inventory - Public Private FMS'!$J$17:$J$1792))
* ISNUMBER(SEARCH("Public", 'Inventory - Public Private FMS'!$L$17:$L$1792))
* ((ISNUMBER(SEARCH("Food services", 'Inventory - Public Private FMS'!$N$17:$N$1792)))
+ (ISNUMBER(SEARCH("All Stages", 'Inventory - Public Private FMS'!$N$17:$N$1792))) &gt; 0)))</f>
        <v>0</v>
      </c>
      <c r="Q50" s="224"/>
      <c r="R50" s="246" cm="1">
        <f t="array" ref="R50">SUMPRODUCT(--(ISNUMBER(SEARCH("Greece",'Inventory - Public Private FMS'!$J$17:$J$1792))
*(ISNUMBER(SEARCH("Public",'Inventory - Public Private FMS'!$L$17:$L$1792)))&gt;0))</f>
        <v>40</v>
      </c>
    </row>
    <row r="51" spans="2:18">
      <c r="B51" s="248"/>
      <c r="C51" s="126" t="s">
        <v>74</v>
      </c>
      <c r="D51" s="246" cm="1">
        <f t="array" ref="D51">SUMPRODUCT(--(ISNUMBER(SEARCH("Greece",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51" s="247" cm="1">
        <f t="array" ref="E5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51" s="247" cm="1">
        <f t="array" ref="F5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51" s="247" cm="1">
        <f t="array" ref="G5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51" s="247" cm="1">
        <f t="array" ref="H5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51" s="247" cm="1">
        <f t="array" ref="I51">SUMPRODUCT(--(ISNUMBER(SEARCH("Greece", 'Inventory - Public Private FMS'!$J$17:$J$1792))
* ISNUMBER(SEARCH("Private", 'Inventory - Public Private FMS'!$L$17:$L$1792))
* ((ISNUMBER(SEARCH("Eggs", 'Inventory - Public Private FMS'!$F$17:$F$1792)))
+ (ISNUMBER(SEARCH("All food commodities", 'Inventory - Public Private FMS'!$F$17:$F$1792))) &gt; 0)))</f>
        <v>0</v>
      </c>
      <c r="J51" s="247" cm="1">
        <f t="array" ref="J51">SUMPRODUCT(--(ISNUMBER(SEARCH("Greece", 'Inventory - Public Private FMS'!$J$17:$J$1792))
* ISNUMBER(SEARCH("Private", 'Inventory - Public Private FMS'!$L$17:$L$1792))
* ((ISNUMBER(SEARCH("Fish", 'Inventory - Public Private FMS'!$F$17:$F$1792)))
+ (ISNUMBER(SEARCH("All food commodities", 'Inventory - Public Private FMS'!$F$17:$F$1792))) &gt; 0)))</f>
        <v>0</v>
      </c>
      <c r="K51" s="247" cm="1">
        <f t="array" ref="K51">SUMPRODUCT(--(ISNUMBER(SEARCH("Greece", 'Inventory - Public Private FMS'!$J$17:$J$1792))
* ISNUMBER(SEARCH("Private", 'Inventory - Public Private FMS'!$L$17:$L$1792))
* ((ISNUMBER(SEARCH("Cereals", 'Inventory - Public Private FMS'!$F$17:$F$1792)))
+ (ISNUMBER(SEARCH("All food commodities", 'Inventory - Public Private FMS'!$F$17:$F$1792))) &gt; 0)))</f>
        <v>0</v>
      </c>
      <c r="L51" s="224"/>
      <c r="M51" s="247" cm="1">
        <f t="array" ref="M51">SUMPRODUCT(--(ISNUMBER(SEARCH("Greece", 'Inventory - Public Private FMS'!$J$17:$J$1792))
* ISNUMBER(SEARCH("Private", 'Inventory - Public Private FMS'!$L$17:$L$1792))
* ((ISNUMBER(SEARCH("Primary Production", 'Inventory - Public Private FMS'!$N$17:$N$1792)))
+ (ISNUMBER(SEARCH("All Stages", 'Inventory - Public Private FMS'!$N$17:$N$1792))) &gt; 0)))</f>
        <v>0</v>
      </c>
      <c r="N51" s="247" cm="1">
        <f t="array" ref="N51">SUMPRODUCT(--(ISNUMBER(SEARCH("Greece", 'Inventory - Public Private FMS'!$J$17:$J$1792))
* ISNUMBER(SEARCH("Private", 'Inventory - Public Private FMS'!$L$17:$L$1792))
* ((ISNUMBER(SEARCH("Processing &amp; Manufacturing", 'Inventory - Public Private FMS'!$N$17:$N$1792)))
+ (ISNUMBER(SEARCH("All Stages", 'Inventory - Public Private FMS'!$N$17:$N$1792))) &gt; 0)))</f>
        <v>0</v>
      </c>
      <c r="O51" s="247" cm="1">
        <f t="array" ref="O51">SUMPRODUCT(--(ISNUMBER(SEARCH("Greece", 'Inventory - Public Private FMS'!$J$17:$J$1792))
* ISNUMBER(SEARCH("Private", 'Inventory - Public Private FMS'!$L$17:$L$1792))
* ((ISNUMBER(SEARCH("Retail", 'Inventory - Public Private FMS'!$N$17:$N$1792)))
+ (ISNUMBER(SEARCH("All Stages", 'Inventory - Public Private FMS'!$N$17:$N$1792))) &gt; 0)))</f>
        <v>0</v>
      </c>
      <c r="P51" s="247" cm="1">
        <f t="array" ref="P51">SUMPRODUCT(--(ISNUMBER(SEARCH("Greece", 'Inventory - Public Private FMS'!$J$17:$J$1792))
* ISNUMBER(SEARCH("Private", 'Inventory - Public Private FMS'!$L$17:$L$1792))
* ((ISNUMBER(SEARCH("Food services", 'Inventory - Public Private FMS'!$N$17:$N$1792)))
+ (ISNUMBER(SEARCH("All Stages", 'Inventory - Public Private FMS'!$N$17:$N$1792))) &gt; 0)))</f>
        <v>0</v>
      </c>
      <c r="Q51" s="224"/>
      <c r="R51" s="246" cm="1">
        <f t="array" ref="R51">SUMPRODUCT(--(ISNUMBER(SEARCH("Greece",'Inventory - Public Private FMS'!$J$17:$J$1792))
*(ISNUMBER(SEARCH("Private",'Inventory - Public Private FMS'!$L$17:$L$1792)))&gt;0))</f>
        <v>0</v>
      </c>
    </row>
    <row r="52" spans="2:18">
      <c r="B52" s="248"/>
      <c r="C52" s="249" t="s">
        <v>3941</v>
      </c>
      <c r="D52" s="246">
        <f t="shared" ref="D52:K52" si="11">SUM(D50:D51)</f>
        <v>38</v>
      </c>
      <c r="E52" s="246">
        <f t="shared" si="11"/>
        <v>0</v>
      </c>
      <c r="F52" s="246">
        <f t="shared" si="11"/>
        <v>0</v>
      </c>
      <c r="G52" s="246">
        <f t="shared" si="11"/>
        <v>0</v>
      </c>
      <c r="H52" s="246">
        <f t="shared" si="11"/>
        <v>0</v>
      </c>
      <c r="I52" s="246">
        <f t="shared" si="11"/>
        <v>0</v>
      </c>
      <c r="J52" s="246">
        <f t="shared" si="11"/>
        <v>2</v>
      </c>
      <c r="K52" s="246">
        <f t="shared" si="11"/>
        <v>0</v>
      </c>
      <c r="L52" s="224"/>
      <c r="M52" s="246">
        <f>SUM(M50:M51)</f>
        <v>40</v>
      </c>
      <c r="N52" s="246">
        <f>SUM(N50:N51)</f>
        <v>40</v>
      </c>
      <c r="O52" s="246">
        <f>SUM(O50:O51)</f>
        <v>0</v>
      </c>
      <c r="P52" s="246">
        <f>SUM(P50:P51)</f>
        <v>0</v>
      </c>
      <c r="Q52" s="224"/>
      <c r="R52" s="246">
        <f>SUM(R50:R51)</f>
        <v>40</v>
      </c>
    </row>
    <row r="53" spans="2:18">
      <c r="B53" s="240" t="s">
        <v>3316</v>
      </c>
      <c r="C53" s="253" t="s">
        <v>3916</v>
      </c>
      <c r="D53" s="242" cm="1">
        <f t="array" ref="D53">SUMPRODUCT(--(ISNUMBER(SEARCH("Hungary", 'Inventory - Public Private FMS'!$J$17:$J$1792))
* ((ISNUMBER(SEARCH("Fruits", 'Inventory - Public Private FMS'!$F$17:$F$1792)))
+ (ISNUMBER(SEARCH("Vegetables", 'Inventory - Public Private FMS'!$F$17:$F$1792)))
+ (ISNUMBER(SEARCH("All food commodities", 'Inventory - Public Private FMS'!$F$17:$F$1792))) &gt; 0)))</f>
        <v>12</v>
      </c>
      <c r="E53" s="242" cm="1">
        <f t="array" ref="E53">SUMPRODUCT(--(ISNUMBER(SEARCH("Hungary",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53" s="242" cm="1">
        <f t="array" ref="F53">SUMPRODUCT(--(ISNUMBER(SEARCH("Hungary",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v>
      </c>
      <c r="G53" s="242" cm="1">
        <f t="array" ref="G53">SUMPRODUCT(--(ISNUMBER(SEARCH("Hungary",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53" s="242" cm="1">
        <f t="array" ref="H53">SUMPRODUCT(--(ISNUMBER(SEARCH("Hungary",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53" s="242" cm="1">
        <f t="array" ref="I53">SUMPRODUCT(--(ISNUMBER(SEARCH("Hungary", 'Inventory - Public Private FMS'!$J$17:$J$1792))
* ((ISNUMBER(SEARCH("Eggs", 'Inventory - Public Private FMS'!$F$17:$F$1792)))
+ (ISNUMBER(SEARCH("All food commodities", 'Inventory - Public Private FMS'!$F$17:$F$1792))) &gt; 0)))</f>
        <v>0</v>
      </c>
      <c r="J53" s="242" cm="1">
        <f t="array" ref="J53">SUMPRODUCT(--(ISNUMBER(SEARCH("Hungary", 'Inventory - Public Private FMS'!$J$17:$J$1792))
* ((ISNUMBER(SEARCH("Fish", 'Inventory - Public Private FMS'!$F$17:$F$1792)))
+ (ISNUMBER(SEARCH("All food commodities", 'Inventory - Public Private FMS'!$F$17:$F$1792))) &gt; 0)))</f>
        <v>4</v>
      </c>
      <c r="K53" s="242" cm="1">
        <f t="array" ref="K53">SUMPRODUCT(--(ISNUMBER(SEARCH("Hungary", 'Inventory - Public Private FMS'!$J$17:$J$1792))
* ((ISNUMBER(SEARCH("Cereals", 'Inventory - Public Private FMS'!$F$17:$F$1792)))
+ (ISNUMBER(SEARCH("All food commodities", 'Inventory - Public Private FMS'!$F$17:$F$1792))) &gt; 0)))</f>
        <v>1</v>
      </c>
      <c r="L53" s="221"/>
      <c r="M53" s="242" cm="1">
        <f t="array" ref="M53">SUMPRODUCT(--(ISNUMBER(SEARCH("Hungary", 'Inventory - Public Private FMS'!$J$17:$J$1792))
* ((ISNUMBER(SEARCH("Primary Production", 'Inventory - Public Private FMS'!$N$17:$N$1792)))
+ (ISNUMBER(SEARCH("All Stages", 'Inventory - Public Private FMS'!$N$17:$N$1792))) &gt; 0)))</f>
        <v>18</v>
      </c>
      <c r="N53" s="242" cm="1">
        <f t="array" ref="N53">SUMPRODUCT(--(ISNUMBER(SEARCH("Hungary", 'Inventory - Public Private FMS'!$J$17:$J$1792))
* ((ISNUMBER(SEARCH("Processing &amp; Manufacturing", 'Inventory - Public Private FMS'!$N$17:$N$1792)))
+ (ISNUMBER(SEARCH("All Stages", 'Inventory - Public Private FMS'!$N$17:$N$1792))) &gt; 0)))</f>
        <v>18</v>
      </c>
      <c r="O53" s="242" cm="1">
        <f t="array" ref="O53">SUMPRODUCT(--(ISNUMBER(SEARCH("Hungary", 'Inventory - Public Private FMS'!$J$17:$J$1792))
* ((ISNUMBER(SEARCH("Retail", 'Inventory - Public Private FMS'!$N$17:$N$1792)))
+ (ISNUMBER(SEARCH("All Stages", 'Inventory - Public Private FMS'!$N$17:$N$1792))) &gt; 0)))</f>
        <v>0</v>
      </c>
      <c r="P53" s="242" cm="1">
        <f t="array" ref="P53">SUMPRODUCT(--(ISNUMBER(SEARCH("Hungary", 'Inventory - Public Private FMS'!$J$17:$J$1792))
* ((ISNUMBER(SEARCH("Food services", 'Inventory - Public Private FMS'!$N$17:$N$1792)))
+ (ISNUMBER(SEARCH("All Stages", 'Inventory - Public Private FMS'!$N$17:$N$1792))) &gt; 0)))</f>
        <v>0</v>
      </c>
      <c r="Q53" s="221"/>
      <c r="R53" s="243">
        <f>COUNTIF('Inventory - Public Private FMS'!$J$17:$J$1792, "*Hungary*")</f>
        <v>18</v>
      </c>
    </row>
    <row r="54" spans="2:18">
      <c r="B54" s="244"/>
      <c r="C54" s="126" t="s">
        <v>737</v>
      </c>
      <c r="D54" s="246" cm="1">
        <f t="array" ref="D54">SUMPRODUCT(--(ISNUMBER(SEARCH("Hungary",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12</v>
      </c>
      <c r="E54" s="247" cm="1">
        <f t="array" ref="E54">SUMPRODUCT(--(ISNUMBER(SEARCH("Hungary",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54" s="247" cm="1">
        <f t="array" ref="F54">SUMPRODUCT(--(ISNUMBER(SEARCH("Hungary",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G54" s="247" cm="1">
        <f t="array" ref="G54">SUMPRODUCT(--(ISNUMBER(SEARCH("Hungary",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54" s="247" cm="1">
        <f t="array" ref="H54">SUMPRODUCT(--(ISNUMBER(SEARCH("Hungary",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54" s="247" cm="1">
        <f t="array" ref="I54">SUMPRODUCT(--(ISNUMBER(SEARCH("Hungary", 'Inventory - Public Private FMS'!$J$17:$J$1792))
* ISNUMBER(SEARCH("Public", 'Inventory - Public Private FMS'!$L$17:$L$1792))
* ((ISNUMBER(SEARCH("Eggs", 'Inventory - Public Private FMS'!$F$17:$F$1792)))
+ (ISNUMBER(SEARCH("All food commodities", 'Inventory - Public Private FMS'!$F$17:$F$1792))) &gt; 0)))</f>
        <v>0</v>
      </c>
      <c r="J54" s="247" cm="1">
        <f t="array" ref="J54">SUMPRODUCT(--(ISNUMBER(SEARCH("Hungary", 'Inventory - Public Private FMS'!$J$17:$J$1792))
* ISNUMBER(SEARCH("Public", 'Inventory - Public Private FMS'!$L$17:$L$1792))
* ((ISNUMBER(SEARCH("Fish", 'Inventory - Public Private FMS'!$F$17:$F$1792)))
+ (ISNUMBER(SEARCH("All food commodities", 'Inventory - Public Private FMS'!$F$17:$F$1792))) &gt; 0)))</f>
        <v>4</v>
      </c>
      <c r="K54" s="247" cm="1">
        <f t="array" ref="K54">SUMPRODUCT(--(ISNUMBER(SEARCH("Hungary", 'Inventory - Public Private FMS'!$J$17:$J$1792))
* ISNUMBER(SEARCH("Public", 'Inventory - Public Private FMS'!$L$17:$L$1792))
* ((ISNUMBER(SEARCH("Cereals", 'Inventory - Public Private FMS'!$F$17:$F$1792)))
+ (ISNUMBER(SEARCH("All food commodities", 'Inventory - Public Private FMS'!$F$17:$F$1792))) &gt; 0)))</f>
        <v>1</v>
      </c>
      <c r="L54" s="224"/>
      <c r="M54" s="247" cm="1">
        <f t="array" ref="M54">SUMPRODUCT(--(ISNUMBER(SEARCH("Hungary", 'Inventory - Public Private FMS'!$J$17:$J$1792))
* ISNUMBER(SEARCH("Public", 'Inventory - Public Private FMS'!$L$17:$L$1792))
* ((ISNUMBER(SEARCH("Primary Production", 'Inventory - Public Private FMS'!$N$17:$N$1792)))
+ (ISNUMBER(SEARCH("All Stages", 'Inventory - Public Private FMS'!$N$17:$N$1792))) &gt; 0)))</f>
        <v>18</v>
      </c>
      <c r="N54" s="247" cm="1">
        <f t="array" ref="N54">SUMPRODUCT(--(ISNUMBER(SEARCH("Hungary", 'Inventory - Public Private FMS'!$J$17:$J$1792))
* ISNUMBER(SEARCH("Public", 'Inventory - Public Private FMS'!$L$17:$L$1792))
* ((ISNUMBER(SEARCH("Processing &amp; Manufacturing", 'Inventory - Public Private FMS'!$N$17:$N$1792)))
+ (ISNUMBER(SEARCH("All Stages", 'Inventory - Public Private FMS'!$N$17:$N$1792))) &gt; 0)))</f>
        <v>18</v>
      </c>
      <c r="O54" s="247" cm="1">
        <f t="array" ref="O54">SUMPRODUCT(--(ISNUMBER(SEARCH("Hungary", 'Inventory - Public Private FMS'!$J$17:$J$1792))
* ISNUMBER(SEARCH("Public", 'Inventory - Public Private FMS'!$L$17:$L$1792))
* ((ISNUMBER(SEARCH("Retail", 'Inventory - Public Private FMS'!$N$17:$N$1792)))
+ (ISNUMBER(SEARCH("All Stages", 'Inventory - Public Private FMS'!$N$17:$N$1792))) &gt; 0)))</f>
        <v>0</v>
      </c>
      <c r="P54" s="247" cm="1">
        <f t="array" ref="P54">SUMPRODUCT(--(ISNUMBER(SEARCH("Hungary", 'Inventory - Public Private FMS'!$J$17:$J$1792))
* ISNUMBER(SEARCH("Public", 'Inventory - Public Private FMS'!$L$17:$L$1792))
* ((ISNUMBER(SEARCH("Food services", 'Inventory - Public Private FMS'!$N$17:$N$1792)))
+ (ISNUMBER(SEARCH("All Stages", 'Inventory - Public Private FMS'!$N$17:$N$1792))) &gt; 0)))</f>
        <v>0</v>
      </c>
      <c r="Q54" s="224"/>
      <c r="R54" s="246" cm="1">
        <f t="array" ref="R54">SUMPRODUCT(--(ISNUMBER(SEARCH("Hungary",'Inventory - Public Private FMS'!$J$17:$J$1792))
*(ISNUMBER(SEARCH("Public",'Inventory - Public Private FMS'!$L$17:$L$1792)))&gt;0))</f>
        <v>18</v>
      </c>
    </row>
    <row r="55" spans="2:18">
      <c r="B55" s="248"/>
      <c r="C55" s="126" t="s">
        <v>74</v>
      </c>
      <c r="D55" s="246" cm="1">
        <f t="array" ref="D55">SUMPRODUCT(--(ISNUMBER(SEARCH("Hungary",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55" s="247" cm="1">
        <f t="array" ref="E55">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55" s="247" cm="1">
        <f t="array" ref="F55">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55" s="247" cm="1">
        <f t="array" ref="G55">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55" s="247" cm="1">
        <f t="array" ref="H55">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55" s="247" cm="1">
        <f t="array" ref="I55">SUMPRODUCT(--(ISNUMBER(SEARCH("Hungary", 'Inventory - Public Private FMS'!$J$17:$J$1792))
* ISNUMBER(SEARCH("Private", 'Inventory - Public Private FMS'!$L$17:$L$1792))
* ((ISNUMBER(SEARCH("Eggs", 'Inventory - Public Private FMS'!$F$17:$F$1792)))
+ (ISNUMBER(SEARCH("All food commodities", 'Inventory - Public Private FMS'!$F$17:$F$1792))) &gt; 0)))</f>
        <v>0</v>
      </c>
      <c r="J55" s="247" cm="1">
        <f t="array" ref="J55">SUMPRODUCT(--(ISNUMBER(SEARCH("Hungary", 'Inventory - Public Private FMS'!$J$17:$J$1792))
* ISNUMBER(SEARCH("Private", 'Inventory - Public Private FMS'!$L$17:$L$1792))
* ((ISNUMBER(SEARCH("Fish", 'Inventory - Public Private FMS'!$F$17:$F$1792)))
+ (ISNUMBER(SEARCH("All food commodities", 'Inventory - Public Private FMS'!$F$17:$F$1792))) &gt; 0)))</f>
        <v>0</v>
      </c>
      <c r="K55" s="247" cm="1">
        <f t="array" ref="K55">SUMPRODUCT(--(ISNUMBER(SEARCH("Hungary", 'Inventory - Public Private FMS'!$J$17:$J$1792))
* ISNUMBER(SEARCH("Private", 'Inventory - Public Private FMS'!$L$17:$L$1792))
* ((ISNUMBER(SEARCH("Cereals", 'Inventory - Public Private FMS'!$F$17:$F$1792)))
+ (ISNUMBER(SEARCH("All food commodities", 'Inventory - Public Private FMS'!$F$17:$F$1792))) &gt; 0)))</f>
        <v>0</v>
      </c>
      <c r="L55" s="224"/>
      <c r="M55" s="247" cm="1">
        <f t="array" ref="M55">SUMPRODUCT(--(ISNUMBER(SEARCH("Hungary", 'Inventory - Public Private FMS'!$J$17:$J$1792))
* ISNUMBER(SEARCH("Private", 'Inventory - Public Private FMS'!$L$17:$L$1792))
* ((ISNUMBER(SEARCH("Primary Production", 'Inventory - Public Private FMS'!$N$17:$N$1792)))
+ (ISNUMBER(SEARCH("All Stages", 'Inventory - Public Private FMS'!$N$17:$N$1792))) &gt; 0)))</f>
        <v>0</v>
      </c>
      <c r="N55" s="247" cm="1">
        <f t="array" ref="N55">SUMPRODUCT(--(ISNUMBER(SEARCH("Hungary", 'Inventory - Public Private FMS'!$J$17:$J$1792))
* ISNUMBER(SEARCH("Private", 'Inventory - Public Private FMS'!$L$17:$L$1792))
* ((ISNUMBER(SEARCH("Processing &amp; Manufacturing", 'Inventory - Public Private FMS'!$N$17:$N$1792)))
+ (ISNUMBER(SEARCH("All Stages", 'Inventory - Public Private FMS'!$N$17:$N$1792))) &gt; 0)))</f>
        <v>0</v>
      </c>
      <c r="O55" s="247" cm="1">
        <f t="array" ref="O55">SUMPRODUCT(--(ISNUMBER(SEARCH("Hungary", 'Inventory - Public Private FMS'!$J$17:$J$1792))
* ISNUMBER(SEARCH("Private", 'Inventory - Public Private FMS'!$L$17:$L$1792))
* ((ISNUMBER(SEARCH("Retail", 'Inventory - Public Private FMS'!$N$17:$N$1792)))
+ (ISNUMBER(SEARCH("All Stages", 'Inventory - Public Private FMS'!$N$17:$N$1792))) &gt; 0)))</f>
        <v>0</v>
      </c>
      <c r="P55" s="247" cm="1">
        <f t="array" ref="P55">SUMPRODUCT(--(ISNUMBER(SEARCH("Hungary", 'Inventory - Public Private FMS'!$J$17:$J$1792))
* ISNUMBER(SEARCH("Private", 'Inventory - Public Private FMS'!$L$17:$L$1792))
* ((ISNUMBER(SEARCH("Food services", 'Inventory - Public Private FMS'!$N$17:$N$1792)))
+ (ISNUMBER(SEARCH("All Stages", 'Inventory - Public Private FMS'!$N$17:$N$1792))) &gt; 0)))</f>
        <v>0</v>
      </c>
      <c r="Q55" s="224"/>
      <c r="R55" s="246" cm="1">
        <f t="array" ref="R55">SUMPRODUCT(--(ISNUMBER(SEARCH("Hungary",'Inventory - Public Private FMS'!$J$17:$J$1792))
*(ISNUMBER(SEARCH("Private",'Inventory - Public Private FMS'!$L$17:$L$1792)))&gt;0))</f>
        <v>0</v>
      </c>
    </row>
    <row r="56" spans="2:18">
      <c r="B56" s="248"/>
      <c r="C56" s="249" t="s">
        <v>3941</v>
      </c>
      <c r="D56" s="246">
        <f t="shared" ref="D56:K56" si="12">SUM(D54:D55)</f>
        <v>12</v>
      </c>
      <c r="E56" s="246">
        <f t="shared" si="12"/>
        <v>0</v>
      </c>
      <c r="F56" s="246">
        <f t="shared" si="12"/>
        <v>1</v>
      </c>
      <c r="G56" s="246">
        <f t="shared" si="12"/>
        <v>0</v>
      </c>
      <c r="H56" s="246">
        <f t="shared" si="12"/>
        <v>1</v>
      </c>
      <c r="I56" s="246">
        <f t="shared" si="12"/>
        <v>0</v>
      </c>
      <c r="J56" s="246">
        <f t="shared" si="12"/>
        <v>4</v>
      </c>
      <c r="K56" s="246">
        <f t="shared" si="12"/>
        <v>1</v>
      </c>
      <c r="L56" s="224"/>
      <c r="M56" s="246">
        <f>SUM(M54:M55)</f>
        <v>18</v>
      </c>
      <c r="N56" s="246">
        <f>SUM(N54:N55)</f>
        <v>18</v>
      </c>
      <c r="O56" s="246">
        <f>SUM(O54:O55)</f>
        <v>0</v>
      </c>
      <c r="P56" s="246">
        <f>SUM(P54:P55)</f>
        <v>0</v>
      </c>
      <c r="Q56" s="224"/>
      <c r="R56" s="246">
        <f>SUM(R54:R55)</f>
        <v>18</v>
      </c>
    </row>
    <row r="57" spans="2:18">
      <c r="B57" s="240" t="s">
        <v>3230</v>
      </c>
      <c r="C57" s="253" t="s">
        <v>3916</v>
      </c>
      <c r="D57" s="242" cm="1">
        <f t="array" ref="D57">SUMPRODUCT(--(ISNUMBER(SEARCH("Ireland", 'Inventory - Public Private FMS'!$J$17:$J$1792))
* ((ISNUMBER(SEARCH("Fruits", 'Inventory - Public Private FMS'!$F$17:$F$1792)))
+ (ISNUMBER(SEARCH("Vegetables", 'Inventory - Public Private FMS'!$F$17:$F$1792)))
+ (ISNUMBER(SEARCH("All food commodities", 'Inventory - Public Private FMS'!$F$17:$F$1792))) &gt; 0)))</f>
        <v>1</v>
      </c>
      <c r="E57" s="242" cm="1">
        <f t="array" ref="E57">SUMPRODUCT(--(ISNUMBER(SEARCH("Ireland",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57" s="242" cm="1">
        <f t="array" ref="F57">SUMPRODUCT(--(ISNUMBER(SEARCH("Ireland",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4</v>
      </c>
      <c r="G57" s="242" cm="1">
        <f t="array" ref="G57">SUMPRODUCT(--(ISNUMBER(SEARCH("Ireland",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57" s="242" cm="1">
        <f t="array" ref="H57">SUMPRODUCT(--(ISNUMBER(SEARCH("Ireland",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I57" s="242" cm="1">
        <f t="array" ref="I57">SUMPRODUCT(--(ISNUMBER(SEARCH("Ireland", 'Inventory - Public Private FMS'!$J$17:$J$1792))
* ((ISNUMBER(SEARCH("Eggs", 'Inventory - Public Private FMS'!$F$17:$F$1792)))
+ (ISNUMBER(SEARCH("All food commodities", 'Inventory - Public Private FMS'!$F$17:$F$1792))) &gt; 0)))</f>
        <v>0</v>
      </c>
      <c r="J57" s="242" cm="1">
        <f t="array" ref="J57">SUMPRODUCT(--(ISNUMBER(SEARCH("Ireland", 'Inventory - Public Private FMS'!$J$17:$J$1792))
* ((ISNUMBER(SEARCH("Fish", 'Inventory - Public Private FMS'!$F$17:$F$1792)))
+ (ISNUMBER(SEARCH("All food commodities", 'Inventory - Public Private FMS'!$F$17:$F$1792))) &gt; 0)))</f>
        <v>1</v>
      </c>
      <c r="K57" s="242" cm="1">
        <f t="array" ref="K57">SUMPRODUCT(--(ISNUMBER(SEARCH("Ireland", 'Inventory - Public Private FMS'!$J$17:$J$1792))
* ((ISNUMBER(SEARCH("Cereals", 'Inventory - Public Private FMS'!$F$17:$F$1792)))
+ (ISNUMBER(SEARCH("All food commodities", 'Inventory - Public Private FMS'!$F$17:$F$1792))) &gt; 0)))</f>
        <v>0</v>
      </c>
      <c r="L57" s="221"/>
      <c r="M57" s="242" cm="1">
        <f t="array" ref="M57">SUMPRODUCT(--(ISNUMBER(SEARCH("Ireland", 'Inventory - Public Private FMS'!$J$17:$J$1792))
* ((ISNUMBER(SEARCH("Primary Production", 'Inventory - Public Private FMS'!$N$17:$N$1792)))
+ (ISNUMBER(SEARCH("All Stages", 'Inventory - Public Private FMS'!$N$17:$N$1792))) &gt; 0)))</f>
        <v>4</v>
      </c>
      <c r="N57" s="242" cm="1">
        <f t="array" ref="N57">SUMPRODUCT(--(ISNUMBER(SEARCH("Ireland", 'Inventory - Public Private FMS'!$J$17:$J$1792))
* ((ISNUMBER(SEARCH("Processing &amp; Manufacturing", 'Inventory - Public Private FMS'!$N$17:$N$1792)))
+ (ISNUMBER(SEARCH("All Stages", 'Inventory - Public Private FMS'!$N$17:$N$1792))) &gt; 0)))</f>
        <v>2</v>
      </c>
      <c r="O57" s="242" cm="1">
        <f t="array" ref="O57">SUMPRODUCT(--(ISNUMBER(SEARCH("Ireland", 'Inventory - Public Private FMS'!$J$17:$J$1792))
* ((ISNUMBER(SEARCH("Retail", 'Inventory - Public Private FMS'!$N$17:$N$1792)))
+ (ISNUMBER(SEARCH("All Stages", 'Inventory - Public Private FMS'!$N$17:$N$1792))) &gt; 0)))</f>
        <v>3</v>
      </c>
      <c r="P57" s="242" cm="1">
        <f t="array" ref="P57">SUMPRODUCT(--(ISNUMBER(SEARCH("Ireland", 'Inventory - Public Private FMS'!$J$17:$J$1792))
* ((ISNUMBER(SEARCH("Food services", 'Inventory - Public Private FMS'!$N$17:$N$1792)))
+ (ISNUMBER(SEARCH("All Stages", 'Inventory - Public Private FMS'!$N$17:$N$1792))) &gt; 0)))</f>
        <v>0</v>
      </c>
      <c r="Q57" s="221"/>
      <c r="R57" s="243">
        <f>COUNTIF('Inventory - Public Private FMS'!$J$17:$J$1792, "*Ireland*")</f>
        <v>6</v>
      </c>
    </row>
    <row r="58" spans="2:18">
      <c r="B58" s="244"/>
      <c r="C58" s="126" t="s">
        <v>737</v>
      </c>
      <c r="D58" s="246" cm="1">
        <f t="array" ref="D58">SUMPRODUCT(--(ISNUMBER(SEARCH("Ireland",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v>
      </c>
      <c r="E58" s="247" cm="1">
        <f t="array" ref="E58">SUMPRODUCT(--(ISNUMBER(SEARCH("Ireland",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58" s="247" cm="1">
        <f t="array" ref="F58">SUMPRODUCT(--(ISNUMBER(SEARCH("Ireland",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4</v>
      </c>
      <c r="G58" s="247" cm="1">
        <f t="array" ref="G58">SUMPRODUCT(--(ISNUMBER(SEARCH("Ireland",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58" s="247" cm="1">
        <f t="array" ref="H58">SUMPRODUCT(--(ISNUMBER(SEARCH("Ireland",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I58" s="247" cm="1">
        <f t="array" ref="I58">SUMPRODUCT(--(ISNUMBER(SEARCH("Ireland", 'Inventory - Public Private FMS'!$J$17:$J$1792))
* ISNUMBER(SEARCH("Public", 'Inventory - Public Private FMS'!$L$17:$L$1792))
* ((ISNUMBER(SEARCH("Eggs", 'Inventory - Public Private FMS'!$F$17:$F$1792)))
+ (ISNUMBER(SEARCH("All food commodities", 'Inventory - Public Private FMS'!$F$17:$F$1792))) &gt; 0)))</f>
        <v>0</v>
      </c>
      <c r="J58" s="247" cm="1">
        <f t="array" ref="J58">SUMPRODUCT(--(ISNUMBER(SEARCH("Ireland", 'Inventory - Public Private FMS'!$J$17:$J$1792))
* ISNUMBER(SEARCH("Public", 'Inventory - Public Private FMS'!$L$17:$L$1792))
* ((ISNUMBER(SEARCH("Fish", 'Inventory - Public Private FMS'!$F$17:$F$1792)))
+ (ISNUMBER(SEARCH("All food commodities", 'Inventory - Public Private FMS'!$F$17:$F$1792))) &gt; 0)))</f>
        <v>1</v>
      </c>
      <c r="K58" s="247" cm="1">
        <f t="array" ref="K58">SUMPRODUCT(--(ISNUMBER(SEARCH("Ireland", 'Inventory - Public Private FMS'!$J$17:$J$1792))
* ISNUMBER(SEARCH("Public", 'Inventory - Public Private FMS'!$L$17:$L$1792))
* ((ISNUMBER(SEARCH("Cereals", 'Inventory - Public Private FMS'!$F$17:$F$1792)))
+ (ISNUMBER(SEARCH("All food commodities", 'Inventory - Public Private FMS'!$F$17:$F$1792))) &gt; 0)))</f>
        <v>0</v>
      </c>
      <c r="L58" s="224"/>
      <c r="M58" s="247" cm="1">
        <f t="array" ref="M58">SUMPRODUCT(--(ISNUMBER(SEARCH("Ireland", 'Inventory - Public Private FMS'!$J$17:$J$1792))
* ISNUMBER(SEARCH("Public", 'Inventory - Public Private FMS'!$L$17:$L$1792))
* ((ISNUMBER(SEARCH("Primary Production", 'Inventory - Public Private FMS'!$N$17:$N$1792)))
+ (ISNUMBER(SEARCH("All Stages", 'Inventory - Public Private FMS'!$N$17:$N$1792))) &gt; 0)))</f>
        <v>4</v>
      </c>
      <c r="N58" s="247" cm="1">
        <f t="array" ref="N58">SUMPRODUCT(--(ISNUMBER(SEARCH("Ireland", 'Inventory - Public Private FMS'!$J$17:$J$1792))
* ISNUMBER(SEARCH("Public", 'Inventory - Public Private FMS'!$L$17:$L$1792))
* ((ISNUMBER(SEARCH("Processing &amp; Manufacturing", 'Inventory - Public Private FMS'!$N$17:$N$1792)))
+ (ISNUMBER(SEARCH("All Stages", 'Inventory - Public Private FMS'!$N$17:$N$1792))) &gt; 0)))</f>
        <v>2</v>
      </c>
      <c r="O58" s="247" cm="1">
        <f t="array" ref="O58">SUMPRODUCT(--(ISNUMBER(SEARCH("Ireland", 'Inventory - Public Private FMS'!$J$17:$J$1792))
* ISNUMBER(SEARCH("Public", 'Inventory - Public Private FMS'!$L$17:$L$1792))
* ((ISNUMBER(SEARCH("Retail", 'Inventory - Public Private FMS'!$N$17:$N$1792)))
+ (ISNUMBER(SEARCH("All Stages", 'Inventory - Public Private FMS'!$N$17:$N$1792))) &gt; 0)))</f>
        <v>3</v>
      </c>
      <c r="P58" s="247" cm="1">
        <f t="array" ref="P58">SUMPRODUCT(--(ISNUMBER(SEARCH("Ireland", 'Inventory - Public Private FMS'!$J$17:$J$1792))
* ISNUMBER(SEARCH("Public", 'Inventory - Public Private FMS'!$L$17:$L$1792))
* ((ISNUMBER(SEARCH("Food services", 'Inventory - Public Private FMS'!$N$17:$N$1792)))
+ (ISNUMBER(SEARCH("All Stages", 'Inventory - Public Private FMS'!$N$17:$N$1792))) &gt; 0)))</f>
        <v>0</v>
      </c>
      <c r="Q58" s="224"/>
      <c r="R58" s="246" cm="1">
        <f t="array" ref="R58">SUMPRODUCT(--(ISNUMBER(SEARCH("Ireland",'Inventory - Public Private FMS'!$J$17:$J$1792))
*(ISNUMBER(SEARCH("Public",'Inventory - Public Private FMS'!$L$17:$L$1792)))&gt;0))</f>
        <v>6</v>
      </c>
    </row>
    <row r="59" spans="2:18">
      <c r="B59" s="248"/>
      <c r="C59" s="126" t="s">
        <v>74</v>
      </c>
      <c r="D59" s="246" cm="1">
        <f t="array" ref="D59">SUMPRODUCT(--(ISNUMBER(SEARCH("Ireland",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59" s="247" cm="1">
        <f t="array" ref="E59">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59" s="247" cm="1">
        <f t="array" ref="F59">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59" s="247" cm="1">
        <f t="array" ref="G59">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59" s="247" cm="1">
        <f t="array" ref="H59">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59" s="247" cm="1">
        <f t="array" ref="I59">SUMPRODUCT(--(ISNUMBER(SEARCH("Ireland", 'Inventory - Public Private FMS'!$J$17:$J$1792))
* ISNUMBER(SEARCH("Private", 'Inventory - Public Private FMS'!$L$17:$L$1792))
* ((ISNUMBER(SEARCH("Eggs", 'Inventory - Public Private FMS'!$F$17:$F$1792)))
+ (ISNUMBER(SEARCH("All food commodities", 'Inventory - Public Private FMS'!$F$17:$F$1792))) &gt; 0)))</f>
        <v>0</v>
      </c>
      <c r="J59" s="247" cm="1">
        <f t="array" ref="J59">SUMPRODUCT(--(ISNUMBER(SEARCH("Ireland", 'Inventory - Public Private FMS'!$J$17:$J$1792))
* ISNUMBER(SEARCH("Private", 'Inventory - Public Private FMS'!$L$17:$L$1792))
* ((ISNUMBER(SEARCH("Fish", 'Inventory - Public Private FMS'!$F$17:$F$1792)))
+ (ISNUMBER(SEARCH("All food commodities", 'Inventory - Public Private FMS'!$F$17:$F$1792))) &gt; 0)))</f>
        <v>0</v>
      </c>
      <c r="K59" s="247" cm="1">
        <f t="array" ref="K59">SUMPRODUCT(--(ISNUMBER(SEARCH("Ireland", 'Inventory - Public Private FMS'!$J$17:$J$1792))
* ISNUMBER(SEARCH("Private", 'Inventory - Public Private FMS'!$L$17:$L$1792))
* ((ISNUMBER(SEARCH("Cereals", 'Inventory - Public Private FMS'!$F$17:$F$1792)))
+ (ISNUMBER(SEARCH("All food commodities", 'Inventory - Public Private FMS'!$F$17:$F$1792))) &gt; 0)))</f>
        <v>0</v>
      </c>
      <c r="L59" s="224"/>
      <c r="M59" s="247" cm="1">
        <f t="array" ref="M59">SUMPRODUCT(--(ISNUMBER(SEARCH("Ireland", 'Inventory - Public Private FMS'!$J$17:$J$1792))
* ISNUMBER(SEARCH("Private", 'Inventory - Public Private FMS'!$L$17:$L$1792))
* ((ISNUMBER(SEARCH("Primary Production", 'Inventory - Public Private FMS'!$N$17:$N$1792)))
+ (ISNUMBER(SEARCH("All Stages", 'Inventory - Public Private FMS'!$N$17:$N$1792))) &gt; 0)))</f>
        <v>0</v>
      </c>
      <c r="N59" s="247" cm="1">
        <f t="array" ref="N59">SUMPRODUCT(--(ISNUMBER(SEARCH("Ireland", 'Inventory - Public Private FMS'!$J$17:$J$1792))
* ISNUMBER(SEARCH("Private", 'Inventory - Public Private FMS'!$L$17:$L$1792))
* ((ISNUMBER(SEARCH("Processing &amp; Manufacturing", 'Inventory - Public Private FMS'!$N$17:$N$1792)))
+ (ISNUMBER(SEARCH("All Stages", 'Inventory - Public Private FMS'!$N$17:$N$1792))) &gt; 0)))</f>
        <v>0</v>
      </c>
      <c r="O59" s="247" cm="1">
        <f t="array" ref="O59">SUMPRODUCT(--(ISNUMBER(SEARCH("Ireland", 'Inventory - Public Private FMS'!$J$17:$J$1792))
* ISNUMBER(SEARCH("Private", 'Inventory - Public Private FMS'!$L$17:$L$1792))
* ((ISNUMBER(SEARCH("Retail", 'Inventory - Public Private FMS'!$N$17:$N$1792)))
+ (ISNUMBER(SEARCH("All Stages", 'Inventory - Public Private FMS'!$N$17:$N$1792))) &gt; 0)))</f>
        <v>0</v>
      </c>
      <c r="P59" s="247" cm="1">
        <f t="array" ref="P59">SUMPRODUCT(--(ISNUMBER(SEARCH("Ireland", 'Inventory - Public Private FMS'!$J$17:$J$1792))
* ISNUMBER(SEARCH("Private", 'Inventory - Public Private FMS'!$L$17:$L$1792))
* ((ISNUMBER(SEARCH("Food services", 'Inventory - Public Private FMS'!$N$17:$N$1792)))
+ (ISNUMBER(SEARCH("All Stages", 'Inventory - Public Private FMS'!$N$17:$N$1792))) &gt; 0)))</f>
        <v>0</v>
      </c>
      <c r="Q59" s="224"/>
      <c r="R59" s="246" cm="1">
        <f t="array" ref="R59">SUMPRODUCT(--(ISNUMBER(SEARCH("Ireland",'Inventory - Public Private FMS'!$J$17:$J$1792))
*(ISNUMBER(SEARCH("Private",'Inventory - Public Private FMS'!$L$17:$L$1792)))&gt;0))</f>
        <v>0</v>
      </c>
    </row>
    <row r="60" spans="2:18">
      <c r="B60" s="248"/>
      <c r="C60" s="249" t="s">
        <v>3941</v>
      </c>
      <c r="D60" s="246">
        <f t="shared" ref="D60:K60" si="13">SUM(D58:D59)</f>
        <v>1</v>
      </c>
      <c r="E60" s="246">
        <f t="shared" si="13"/>
        <v>0</v>
      </c>
      <c r="F60" s="246">
        <f t="shared" si="13"/>
        <v>4</v>
      </c>
      <c r="G60" s="246">
        <f t="shared" si="13"/>
        <v>0</v>
      </c>
      <c r="H60" s="246">
        <f t="shared" si="13"/>
        <v>4</v>
      </c>
      <c r="I60" s="246">
        <f t="shared" si="13"/>
        <v>0</v>
      </c>
      <c r="J60" s="246">
        <f t="shared" si="13"/>
        <v>1</v>
      </c>
      <c r="K60" s="246">
        <f t="shared" si="13"/>
        <v>0</v>
      </c>
      <c r="L60" s="224"/>
      <c r="M60" s="246">
        <f>SUM(M58:M59)</f>
        <v>4</v>
      </c>
      <c r="N60" s="246">
        <f>SUM(N58:N59)</f>
        <v>2</v>
      </c>
      <c r="O60" s="246">
        <f>SUM(O58:O59)</f>
        <v>3</v>
      </c>
      <c r="P60" s="246">
        <f>SUM(P58:P59)</f>
        <v>0</v>
      </c>
      <c r="Q60" s="224"/>
      <c r="R60" s="246">
        <f>SUM(R58:R59)</f>
        <v>6</v>
      </c>
    </row>
    <row r="61" spans="2:18">
      <c r="B61" s="240" t="s">
        <v>659</v>
      </c>
      <c r="C61" s="253" t="s">
        <v>3916</v>
      </c>
      <c r="D61" s="242" cm="1">
        <f t="array" ref="D61">SUMPRODUCT(--(ISNUMBER(SEARCH("Italy", 'Inventory - Public Private FMS'!$J$17:$J$1792))
* ((ISNUMBER(SEARCH("Fruits", 'Inventory - Public Private FMS'!$F$17:$F$1792)))
+ (ISNUMBER(SEARCH("Vegetables", 'Inventory - Public Private FMS'!$F$17:$F$1792)))
+ (ISNUMBER(SEARCH("All food commodities", 'Inventory - Public Private FMS'!$F$17:$F$1792))) &gt; 0)))</f>
        <v>107</v>
      </c>
      <c r="E61" s="242" cm="1">
        <f t="array" ref="E61">SUMPRODUCT(--(ISNUMBER(SEARCH("Italy",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6</v>
      </c>
      <c r="F61" s="242" cm="1">
        <f t="array" ref="F61">SUMPRODUCT(--(ISNUMBER(SEARCH("Italy",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10</v>
      </c>
      <c r="G61" s="242" cm="1">
        <f t="array" ref="G61">SUMPRODUCT(--(ISNUMBER(SEARCH("Italy",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23</v>
      </c>
      <c r="H61" s="242" cm="1">
        <f t="array" ref="H61">SUMPRODUCT(--(ISNUMBER(SEARCH("Italy",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30</v>
      </c>
      <c r="I61" s="242" cm="1">
        <f t="array" ref="I61">SUMPRODUCT(--(ISNUMBER(SEARCH("Italy", 'Inventory - Public Private FMS'!$J$17:$J$1792))
* ((ISNUMBER(SEARCH("Eggs", 'Inventory - Public Private FMS'!$F$17:$F$1792)))
+ (ISNUMBER(SEARCH("All food commodities", 'Inventory - Public Private FMS'!$F$17:$F$1792))) &gt; 0)))</f>
        <v>4</v>
      </c>
      <c r="J61" s="242" cm="1">
        <f t="array" ref="J61">SUMPRODUCT(--(ISNUMBER(SEARCH("Italy", 'Inventory - Public Private FMS'!$J$17:$J$1792))
* ((ISNUMBER(SEARCH("Fish", 'Inventory - Public Private FMS'!$F$17:$F$1792)))
+ (ISNUMBER(SEARCH("All food commodities", 'Inventory - Public Private FMS'!$F$17:$F$1792))) &gt; 0)))</f>
        <v>12</v>
      </c>
      <c r="K61" s="242" cm="1">
        <f t="array" ref="K61">SUMPRODUCT(--(ISNUMBER(SEARCH("Italy", 'Inventory - Public Private FMS'!$J$17:$J$1792))
* ((ISNUMBER(SEARCH("Cereals", 'Inventory - Public Private FMS'!$F$17:$F$1792)))
+ (ISNUMBER(SEARCH("All food commodities", 'Inventory - Public Private FMS'!$F$17:$F$1792))) &gt; 0)))</f>
        <v>14</v>
      </c>
      <c r="L61" s="221"/>
      <c r="M61" s="242" cm="1">
        <f t="array" ref="M61">SUMPRODUCT(--(ISNUMBER(SEARCH("Italy", 'Inventory - Public Private FMS'!$J$17:$J$1792))
* ((ISNUMBER(SEARCH("Primary Production", 'Inventory - Public Private FMS'!$N$17:$N$1792)))
+ (ISNUMBER(SEARCH("All Stages", 'Inventory - Public Private FMS'!$N$17:$N$1792))) &gt; 0)))</f>
        <v>141</v>
      </c>
      <c r="N61" s="242" cm="1">
        <f t="array" ref="N61">SUMPRODUCT(--(ISNUMBER(SEARCH("Italy", 'Inventory - Public Private FMS'!$J$17:$J$1792))
* ((ISNUMBER(SEARCH("Processing &amp; Manufacturing", 'Inventory - Public Private FMS'!$N$17:$N$1792)))
+ (ISNUMBER(SEARCH("All Stages", 'Inventory - Public Private FMS'!$N$17:$N$1792))) &gt; 0)))</f>
        <v>146</v>
      </c>
      <c r="O61" s="242" cm="1">
        <f t="array" ref="O61">SUMPRODUCT(--(ISNUMBER(SEARCH("Italy", 'Inventory - Public Private FMS'!$J$17:$J$1792))
* ((ISNUMBER(SEARCH("Retail", 'Inventory - Public Private FMS'!$N$17:$N$1792)))
+ (ISNUMBER(SEARCH("All Stages", 'Inventory - Public Private FMS'!$N$17:$N$1792))) &gt; 0)))</f>
        <v>7</v>
      </c>
      <c r="P61" s="242" cm="1">
        <f t="array" ref="P61">SUMPRODUCT(--(ISNUMBER(SEARCH("Italy", 'Inventory - Public Private FMS'!$J$17:$J$1792))
* ((ISNUMBER(SEARCH("Food services", 'Inventory - Public Private FMS'!$N$17:$N$1792)))
+ (ISNUMBER(SEARCH("All Stages", 'Inventory - Public Private FMS'!$N$17:$N$1792))) &gt; 0)))</f>
        <v>1</v>
      </c>
      <c r="Q61" s="221"/>
      <c r="R61" s="243">
        <f>COUNTIF('Inventory - Public Private FMS'!$J$17:$J$1792, "*Italy*")</f>
        <v>150</v>
      </c>
    </row>
    <row r="62" spans="2:18">
      <c r="B62" s="244"/>
      <c r="C62" s="126" t="s">
        <v>737</v>
      </c>
      <c r="D62" s="246" cm="1">
        <f t="array" ref="D62">SUMPRODUCT(--(ISNUMBER(SEARCH("Italy",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101</v>
      </c>
      <c r="E62" s="247" cm="1">
        <f t="array" ref="E62">SUMPRODUCT(--(ISNUMBER(SEARCH("Italy",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3</v>
      </c>
      <c r="F62" s="247" cm="1">
        <f t="array" ref="F62">SUMPRODUCT(--(ISNUMBER(SEARCH("Italy",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6</v>
      </c>
      <c r="G62" s="247" cm="1">
        <f t="array" ref="G62">SUMPRODUCT(--(ISNUMBER(SEARCH("Italy",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20</v>
      </c>
      <c r="H62" s="247" cm="1">
        <f t="array" ref="H62">SUMPRODUCT(--(ISNUMBER(SEARCH("Italy",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26</v>
      </c>
      <c r="I62" s="247" cm="1">
        <f t="array" ref="I62">SUMPRODUCT(--(ISNUMBER(SEARCH("Italy", 'Inventory - Public Private FMS'!$J$17:$J$1792))
* ISNUMBER(SEARCH("Public", 'Inventory - Public Private FMS'!$L$17:$L$1792))
* ((ISNUMBER(SEARCH("Eggs", 'Inventory - Public Private FMS'!$F$17:$F$1792)))
+ (ISNUMBER(SEARCH("All food commodities", 'Inventory - Public Private FMS'!$F$17:$F$1792))) &gt; 0)))</f>
        <v>1</v>
      </c>
      <c r="J62" s="247" cm="1">
        <f t="array" ref="J62">SUMPRODUCT(--(ISNUMBER(SEARCH("Italy", 'Inventory - Public Private FMS'!$J$17:$J$1792))
* ISNUMBER(SEARCH("Public", 'Inventory - Public Private FMS'!$L$17:$L$1792))
* ((ISNUMBER(SEARCH("Fish", 'Inventory - Public Private FMS'!$F$17:$F$1792)))
+ (ISNUMBER(SEARCH("All food commodities", 'Inventory - Public Private FMS'!$F$17:$F$1792))) &gt; 0)))</f>
        <v>9</v>
      </c>
      <c r="K62" s="247" cm="1">
        <f t="array" ref="K62">SUMPRODUCT(--(ISNUMBER(SEARCH("Italy", 'Inventory - Public Private FMS'!$J$17:$J$1792))
* ISNUMBER(SEARCH("Public", 'Inventory - Public Private FMS'!$L$17:$L$1792))
* ((ISNUMBER(SEARCH("Cereals", 'Inventory - Public Private FMS'!$F$17:$F$1792)))
+ (ISNUMBER(SEARCH("All food commodities", 'Inventory - Public Private FMS'!$F$17:$F$1792))) &gt; 0)))</f>
        <v>8</v>
      </c>
      <c r="L62" s="224"/>
      <c r="M62" s="247" cm="1">
        <f t="array" ref="M62">SUMPRODUCT(--(ISNUMBER(SEARCH("Italy", 'Inventory - Public Private FMS'!$J$17:$J$1792))
* ISNUMBER(SEARCH("Public", 'Inventory - Public Private FMS'!$L$17:$L$1792))
* ((ISNUMBER(SEARCH("Primary Production", 'Inventory - Public Private FMS'!$N$17:$N$1792)))
+ (ISNUMBER(SEARCH("All Stages", 'Inventory - Public Private FMS'!$N$17:$N$1792))) &gt; 0)))</f>
        <v>134</v>
      </c>
      <c r="N62" s="247" cm="1">
        <f t="array" ref="N62">SUMPRODUCT(--(ISNUMBER(SEARCH("Italy", 'Inventory - Public Private FMS'!$J$17:$J$1792))
* ISNUMBER(SEARCH("Public", 'Inventory - Public Private FMS'!$L$17:$L$1792))
* ((ISNUMBER(SEARCH("Processing &amp; Manufacturing", 'Inventory - Public Private FMS'!$N$17:$N$1792)))
+ (ISNUMBER(SEARCH("All Stages", 'Inventory - Public Private FMS'!$N$17:$N$1792))) &gt; 0)))</f>
        <v>141</v>
      </c>
      <c r="O62" s="247" cm="1">
        <f t="array" ref="O62">SUMPRODUCT(--(ISNUMBER(SEARCH("Italy", 'Inventory - Public Private FMS'!$J$17:$J$1792))
* ISNUMBER(SEARCH("Public", 'Inventory - Public Private FMS'!$L$17:$L$1792))
* ((ISNUMBER(SEARCH("Retail", 'Inventory - Public Private FMS'!$N$17:$N$1792)))
+ (ISNUMBER(SEARCH("All Stages", 'Inventory - Public Private FMS'!$N$17:$N$1792))) &gt; 0)))</f>
        <v>5</v>
      </c>
      <c r="P62" s="247" cm="1">
        <f t="array" ref="P62">SUMPRODUCT(--(ISNUMBER(SEARCH("Italy", 'Inventory - Public Private FMS'!$J$17:$J$1792))
* ISNUMBER(SEARCH("Public", 'Inventory - Public Private FMS'!$L$17:$L$1792))
* ((ISNUMBER(SEARCH("Food services", 'Inventory - Public Private FMS'!$N$17:$N$1792)))
+ (ISNUMBER(SEARCH("All Stages", 'Inventory - Public Private FMS'!$N$17:$N$1792))) &gt; 0)))</f>
        <v>0</v>
      </c>
      <c r="Q62" s="224"/>
      <c r="R62" s="246" cm="1">
        <f t="array" ref="R62">SUMPRODUCT(--(ISNUMBER(SEARCH("Italy",'Inventory - Public Private FMS'!$J$17:$J$1792))
*(ISNUMBER(SEARCH("Public",'Inventory - Public Private FMS'!$L$17:$L$1792)))&gt;0))</f>
        <v>141</v>
      </c>
    </row>
    <row r="63" spans="2:18">
      <c r="B63" s="248"/>
      <c r="C63" s="126" t="s">
        <v>74</v>
      </c>
      <c r="D63" s="246" cm="1">
        <f t="array" ref="D63">SUMPRODUCT(--(ISNUMBER(SEARCH("Italy",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6</v>
      </c>
      <c r="E63" s="247" cm="1">
        <f t="array" ref="E63">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3</v>
      </c>
      <c r="F63" s="247" cm="1">
        <f t="array" ref="F63">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4</v>
      </c>
      <c r="G63" s="247" cm="1">
        <f t="array" ref="G63">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3</v>
      </c>
      <c r="H63" s="247" cm="1">
        <f t="array" ref="H63">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I63" s="247" cm="1">
        <f t="array" ref="I63">SUMPRODUCT(--(ISNUMBER(SEARCH("Italy", 'Inventory - Public Private FMS'!$J$17:$J$1792))
* ISNUMBER(SEARCH("Private", 'Inventory - Public Private FMS'!$L$17:$L$1792))
* ((ISNUMBER(SEARCH("Eggs", 'Inventory - Public Private FMS'!$F$17:$F$1792)))
+ (ISNUMBER(SEARCH("All food commodities", 'Inventory - Public Private FMS'!$F$17:$F$1792))) &gt; 0)))</f>
        <v>3</v>
      </c>
      <c r="J63" s="247" cm="1">
        <f t="array" ref="J63">SUMPRODUCT(--(ISNUMBER(SEARCH("Italy", 'Inventory - Public Private FMS'!$J$17:$J$1792))
* ISNUMBER(SEARCH("Private", 'Inventory - Public Private FMS'!$L$17:$L$1792))
* ((ISNUMBER(SEARCH("Fish", 'Inventory - Public Private FMS'!$F$17:$F$1792)))
+ (ISNUMBER(SEARCH("All food commodities", 'Inventory - Public Private FMS'!$F$17:$F$1792))) &gt; 0)))</f>
        <v>3</v>
      </c>
      <c r="K63" s="247" cm="1">
        <f t="array" ref="K63">SUMPRODUCT(--(ISNUMBER(SEARCH("Italy", 'Inventory - Public Private FMS'!$J$17:$J$1792))
* ISNUMBER(SEARCH("Private", 'Inventory - Public Private FMS'!$L$17:$L$1792))
* ((ISNUMBER(SEARCH("Cereals", 'Inventory - Public Private FMS'!$F$17:$F$1792)))
+ (ISNUMBER(SEARCH("All food commodities", 'Inventory - Public Private FMS'!$F$17:$F$1792))) &gt; 0)))</f>
        <v>6</v>
      </c>
      <c r="L63" s="224"/>
      <c r="M63" s="247" cm="1">
        <f t="array" ref="M63">SUMPRODUCT(--(ISNUMBER(SEARCH("Italy", 'Inventory - Public Private FMS'!$J$17:$J$1792))
* ISNUMBER(SEARCH("Private", 'Inventory - Public Private FMS'!$L$17:$L$1792))
* ((ISNUMBER(SEARCH("Primary Production", 'Inventory - Public Private FMS'!$N$17:$N$1792)))
+ (ISNUMBER(SEARCH("All Stages", 'Inventory - Public Private FMS'!$N$17:$N$1792))) &gt; 0)))</f>
        <v>7</v>
      </c>
      <c r="N63" s="247" cm="1">
        <f t="array" ref="N63">SUMPRODUCT(--(ISNUMBER(SEARCH("Italy", 'Inventory - Public Private FMS'!$J$17:$J$1792))
* ISNUMBER(SEARCH("Private", 'Inventory - Public Private FMS'!$L$17:$L$1792))
* ((ISNUMBER(SEARCH("Processing &amp; Manufacturing", 'Inventory - Public Private FMS'!$N$17:$N$1792)))
+ (ISNUMBER(SEARCH("All Stages", 'Inventory - Public Private FMS'!$N$17:$N$1792))) &gt; 0)))</f>
        <v>5</v>
      </c>
      <c r="O63" s="247" cm="1">
        <f t="array" ref="O63">SUMPRODUCT(--(ISNUMBER(SEARCH("Italy", 'Inventory - Public Private FMS'!$J$17:$J$1792))
* ISNUMBER(SEARCH("Private", 'Inventory - Public Private FMS'!$L$17:$L$1792))
* ((ISNUMBER(SEARCH("Retail", 'Inventory - Public Private FMS'!$N$17:$N$1792)))
+ (ISNUMBER(SEARCH("All Stages", 'Inventory - Public Private FMS'!$N$17:$N$1792))) &gt; 0)))</f>
        <v>2</v>
      </c>
      <c r="P63" s="247" cm="1">
        <f t="array" ref="P63">SUMPRODUCT(--(ISNUMBER(SEARCH("Italy", 'Inventory - Public Private FMS'!$J$17:$J$1792))
* ISNUMBER(SEARCH("Private", 'Inventory - Public Private FMS'!$L$17:$L$1792))
* ((ISNUMBER(SEARCH("Food services", 'Inventory - Public Private FMS'!$N$17:$N$1792)))
+ (ISNUMBER(SEARCH("All Stages", 'Inventory - Public Private FMS'!$N$17:$N$1792))) &gt; 0)))</f>
        <v>1</v>
      </c>
      <c r="Q63" s="224"/>
      <c r="R63" s="246" cm="1">
        <f t="array" ref="R63">SUMPRODUCT(--(ISNUMBER(SEARCH("Italy",'Inventory - Public Private FMS'!$J$17:$J$1792))
*(ISNUMBER(SEARCH("Private",'Inventory - Public Private FMS'!$L$17:$L$1792)))&gt;0))</f>
        <v>9</v>
      </c>
    </row>
    <row r="64" spans="2:18">
      <c r="B64" s="248"/>
      <c r="C64" s="249" t="s">
        <v>3941</v>
      </c>
      <c r="D64" s="246">
        <f t="shared" ref="D64:K64" si="14">SUM(D62:D63)</f>
        <v>107</v>
      </c>
      <c r="E64" s="246">
        <f t="shared" si="14"/>
        <v>6</v>
      </c>
      <c r="F64" s="246">
        <f t="shared" si="14"/>
        <v>10</v>
      </c>
      <c r="G64" s="246">
        <f t="shared" si="14"/>
        <v>23</v>
      </c>
      <c r="H64" s="246">
        <f t="shared" si="14"/>
        <v>30</v>
      </c>
      <c r="I64" s="246">
        <f t="shared" si="14"/>
        <v>4</v>
      </c>
      <c r="J64" s="246">
        <f t="shared" si="14"/>
        <v>12</v>
      </c>
      <c r="K64" s="246">
        <f t="shared" si="14"/>
        <v>14</v>
      </c>
      <c r="L64" s="224"/>
      <c r="M64" s="246">
        <f>SUM(M62:M63)</f>
        <v>141</v>
      </c>
      <c r="N64" s="246">
        <f>SUM(N62:N63)</f>
        <v>146</v>
      </c>
      <c r="O64" s="246">
        <f>SUM(O62:O63)</f>
        <v>7</v>
      </c>
      <c r="P64" s="246">
        <f>SUM(P62:P63)</f>
        <v>1</v>
      </c>
      <c r="Q64" s="224"/>
      <c r="R64" s="246">
        <f>SUM(R62:R63)</f>
        <v>150</v>
      </c>
    </row>
    <row r="65" spans="1:18">
      <c r="B65" s="240" t="s">
        <v>3374</v>
      </c>
      <c r="C65" s="253" t="s">
        <v>3916</v>
      </c>
      <c r="D65" s="242" cm="1">
        <f t="array" ref="D65">SUMPRODUCT(--(ISNUMBER(SEARCH("Latvia", 'Inventory - Public Private FMS'!$J$17:$J$1792))
* ((ISNUMBER(SEARCH("Fruits", 'Inventory - Public Private FMS'!$F$17:$F$1792)))
+ (ISNUMBER(SEARCH("Vegetables", 'Inventory - Public Private FMS'!$F$17:$F$1792)))
+ (ISNUMBER(SEARCH("All food commodities", 'Inventory - Public Private FMS'!$F$17:$F$1792))) &gt; 0)))</f>
        <v>1</v>
      </c>
      <c r="E65" s="242" cm="1">
        <f t="array" ref="E65">SUMPRODUCT(--(ISNUMBER(SEARCH("Latvia",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65" s="242" cm="1">
        <f t="array" ref="F65">SUMPRODUCT(--(ISNUMBER(SEARCH("Latvia",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65" s="242" cm="1">
        <f t="array" ref="G65">SUMPRODUCT(--(ISNUMBER(SEARCH("Latvia",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65" s="242" cm="1">
        <f t="array" ref="H65">SUMPRODUCT(--(ISNUMBER(SEARCH("Latvia",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65" s="242" cm="1">
        <f t="array" ref="I65">SUMPRODUCT(--(ISNUMBER(SEARCH("Latvia", 'Inventory - Public Private FMS'!$J$17:$J$1792))
* ((ISNUMBER(SEARCH("Eggs", 'Inventory - Public Private FMS'!$F$17:$F$1792)))
+ (ISNUMBER(SEARCH("All food commodities", 'Inventory - Public Private FMS'!$F$17:$F$1792))) &gt; 0)))</f>
        <v>0</v>
      </c>
      <c r="J65" s="242" cm="1">
        <f t="array" ref="J65">SUMPRODUCT(--(ISNUMBER(SEARCH("Latvia", 'Inventory - Public Private FMS'!$J$17:$J$1792))
* ((ISNUMBER(SEARCH("Fish", 'Inventory - Public Private FMS'!$F$17:$F$1792)))
+ (ISNUMBER(SEARCH("All food commodities", 'Inventory - Public Private FMS'!$F$17:$F$1792))) &gt; 0)))</f>
        <v>2</v>
      </c>
      <c r="K65" s="242" cm="1">
        <f t="array" ref="K65">SUMPRODUCT(--(ISNUMBER(SEARCH("Latvia", 'Inventory - Public Private FMS'!$J$17:$J$1792))
* ((ISNUMBER(SEARCH("Cereals", 'Inventory - Public Private FMS'!$F$17:$F$1792)))
+ (ISNUMBER(SEARCH("All food commodities", 'Inventory - Public Private FMS'!$F$17:$F$1792))) &gt; 0)))</f>
        <v>0</v>
      </c>
      <c r="L65" s="221"/>
      <c r="M65" s="242" cm="1">
        <f t="array" ref="M65">SUMPRODUCT(--(ISNUMBER(SEARCH("Latvia", 'Inventory - Public Private FMS'!$J$17:$J$1792))
* ((ISNUMBER(SEARCH("Primary Production", 'Inventory - Public Private FMS'!$N$17:$N$1792)))
+ (ISNUMBER(SEARCH("All Stages", 'Inventory - Public Private FMS'!$N$17:$N$1792))) &gt; 0)))</f>
        <v>3</v>
      </c>
      <c r="N65" s="242" cm="1">
        <f t="array" ref="N65">SUMPRODUCT(--(ISNUMBER(SEARCH("Latvia", 'Inventory - Public Private FMS'!$J$17:$J$1792))
* ((ISNUMBER(SEARCH("Processing &amp; Manufacturing", 'Inventory - Public Private FMS'!$N$17:$N$1792)))
+ (ISNUMBER(SEARCH("All Stages", 'Inventory - Public Private FMS'!$N$17:$N$1792))) &gt; 0)))</f>
        <v>3</v>
      </c>
      <c r="O65" s="242" cm="1">
        <f t="array" ref="O65">SUMPRODUCT(--(ISNUMBER(SEARCH("Latvia", 'Inventory - Public Private FMS'!$J$17:$J$1792))
* ((ISNUMBER(SEARCH("Retail", 'Inventory - Public Private FMS'!$N$17:$N$1792)))
+ (ISNUMBER(SEARCH("All Stages", 'Inventory - Public Private FMS'!$N$17:$N$1792))) &gt; 0)))</f>
        <v>0</v>
      </c>
      <c r="P65" s="242" cm="1">
        <f t="array" ref="P65">SUMPRODUCT(--(ISNUMBER(SEARCH("Latvia", 'Inventory - Public Private FMS'!$J$17:$J$1792))
* ((ISNUMBER(SEARCH("Food services", 'Inventory - Public Private FMS'!$N$17:$N$1792)))
+ (ISNUMBER(SEARCH("All Stages", 'Inventory - Public Private FMS'!$N$17:$N$1792))) &gt; 0)))</f>
        <v>0</v>
      </c>
      <c r="Q65" s="221"/>
      <c r="R65" s="243">
        <f>COUNTIF('Inventory - Public Private FMS'!$J$17:$J$1792, "*Latvia*")</f>
        <v>3</v>
      </c>
    </row>
    <row r="66" spans="1:18">
      <c r="B66" s="244"/>
      <c r="C66" s="126" t="s">
        <v>737</v>
      </c>
      <c r="D66" s="246" cm="1">
        <f t="array" ref="D66">SUMPRODUCT(--(ISNUMBER(SEARCH("Latvia",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v>
      </c>
      <c r="E66" s="247" cm="1">
        <f t="array" ref="E66">SUMPRODUCT(--(ISNUMBER(SEARCH("Latvia",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66" s="247" cm="1">
        <f t="array" ref="F66">SUMPRODUCT(--(ISNUMBER(SEARCH("Latvia",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66" s="247" cm="1">
        <f t="array" ref="G66">SUMPRODUCT(--(ISNUMBER(SEARCH("Latvia",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66" s="247" cm="1">
        <f t="array" ref="H66">SUMPRODUCT(--(ISNUMBER(SEARCH("Latvia",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66" s="247" cm="1">
        <f t="array" ref="I66">SUMPRODUCT(--(ISNUMBER(SEARCH("Latvia", 'Inventory - Public Private FMS'!$J$17:$J$1792))
* ISNUMBER(SEARCH("Public", 'Inventory - Public Private FMS'!$L$17:$L$1792))
* ((ISNUMBER(SEARCH("Eggs", 'Inventory - Public Private FMS'!$F$17:$F$1792)))
+ (ISNUMBER(SEARCH("All food commodities", 'Inventory - Public Private FMS'!$F$17:$F$1792))) &gt; 0)))</f>
        <v>0</v>
      </c>
      <c r="J66" s="247" cm="1">
        <f t="array" ref="J66">SUMPRODUCT(--(ISNUMBER(SEARCH("Latvia", 'Inventory - Public Private FMS'!$J$17:$J$1792))
* ISNUMBER(SEARCH("Public", 'Inventory - Public Private FMS'!$L$17:$L$1792))
* ((ISNUMBER(SEARCH("Fish", 'Inventory - Public Private FMS'!$F$17:$F$1792)))
+ (ISNUMBER(SEARCH("All food commodities", 'Inventory - Public Private FMS'!$F$17:$F$1792))) &gt; 0)))</f>
        <v>2</v>
      </c>
      <c r="K66" s="247" cm="1">
        <f t="array" ref="K66">SUMPRODUCT(--(ISNUMBER(SEARCH("Latvia", 'Inventory - Public Private FMS'!$J$17:$J$1792))
* ISNUMBER(SEARCH("Public", 'Inventory - Public Private FMS'!$L$17:$L$1792))
* ((ISNUMBER(SEARCH("Cereals", 'Inventory - Public Private FMS'!$F$17:$F$1792)))
+ (ISNUMBER(SEARCH("All food commodities", 'Inventory - Public Private FMS'!$F$17:$F$1792))) &gt; 0)))</f>
        <v>0</v>
      </c>
      <c r="L66" s="224"/>
      <c r="M66" s="247" cm="1">
        <f t="array" ref="M66">SUMPRODUCT(--(ISNUMBER(SEARCH("Latvia", 'Inventory - Public Private FMS'!$J$17:$J$1792))
* ISNUMBER(SEARCH("Public", 'Inventory - Public Private FMS'!$L$17:$L$1792))
* ((ISNUMBER(SEARCH("Primary Production", 'Inventory - Public Private FMS'!$N$17:$N$1792)))
+ (ISNUMBER(SEARCH("All Stages", 'Inventory - Public Private FMS'!$N$17:$N$1792))) &gt; 0)))</f>
        <v>3</v>
      </c>
      <c r="N66" s="247" cm="1">
        <f t="array" ref="N66">SUMPRODUCT(--(ISNUMBER(SEARCH("Latvia", 'Inventory - Public Private FMS'!$J$17:$J$1792))
* ISNUMBER(SEARCH("Public", 'Inventory - Public Private FMS'!$L$17:$L$1792))
* ((ISNUMBER(SEARCH("Processing &amp; Manufacturing", 'Inventory - Public Private FMS'!$N$17:$N$1792)))
+ (ISNUMBER(SEARCH("All Stages", 'Inventory - Public Private FMS'!$N$17:$N$1792))) &gt; 0)))</f>
        <v>3</v>
      </c>
      <c r="O66" s="247" cm="1">
        <f t="array" ref="O66">SUMPRODUCT(--(ISNUMBER(SEARCH("Latvia", 'Inventory - Public Private FMS'!$J$17:$J$1792))
* ISNUMBER(SEARCH("Public", 'Inventory - Public Private FMS'!$L$17:$L$1792))
* ((ISNUMBER(SEARCH("Retail", 'Inventory - Public Private FMS'!$N$17:$N$1792)))
+ (ISNUMBER(SEARCH("All Stages", 'Inventory - Public Private FMS'!$N$17:$N$1792))) &gt; 0)))</f>
        <v>0</v>
      </c>
      <c r="P66" s="247" cm="1">
        <f t="array" ref="P66">SUMPRODUCT(--(ISNUMBER(SEARCH("Latvia", 'Inventory - Public Private FMS'!$J$17:$J$1792))
* ISNUMBER(SEARCH("Public", 'Inventory - Public Private FMS'!$L$17:$L$1792))
* ((ISNUMBER(SEARCH("Food services", 'Inventory - Public Private FMS'!$N$17:$N$1792)))
+ (ISNUMBER(SEARCH("All Stages", 'Inventory - Public Private FMS'!$N$17:$N$1792))) &gt; 0)))</f>
        <v>0</v>
      </c>
      <c r="Q66" s="224"/>
      <c r="R66" s="246" cm="1">
        <f t="array" ref="R66">SUMPRODUCT(--(ISNUMBER(SEARCH("Latvia",'Inventory - Public Private FMS'!$J$17:$J$1792))
*(ISNUMBER(SEARCH("Public",'Inventory - Public Private FMS'!$L$17:$L$1792)))&gt;0))</f>
        <v>3</v>
      </c>
    </row>
    <row r="67" spans="1:18">
      <c r="B67" s="248"/>
      <c r="C67" s="126" t="s">
        <v>74</v>
      </c>
      <c r="D67" s="246" cm="1">
        <f t="array" ref="D67">SUMPRODUCT(--(ISNUMBER(SEARCH("Latvia",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67" s="247" cm="1">
        <f t="array" ref="E67">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67" s="247" cm="1">
        <f t="array" ref="F67">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67" s="247" cm="1">
        <f t="array" ref="G67">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67" s="247" cm="1">
        <f t="array" ref="H67">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67" s="247" cm="1">
        <f t="array" ref="I67">SUMPRODUCT(--(ISNUMBER(SEARCH("Latvia", 'Inventory - Public Private FMS'!$J$17:$J$1792))
* ISNUMBER(SEARCH("Private", 'Inventory - Public Private FMS'!$L$17:$L$1792))
* ((ISNUMBER(SEARCH("Eggs", 'Inventory - Public Private FMS'!$F$17:$F$1792)))
+ (ISNUMBER(SEARCH("All food commodities", 'Inventory - Public Private FMS'!$F$17:$F$1792))) &gt; 0)))</f>
        <v>0</v>
      </c>
      <c r="J67" s="247" cm="1">
        <f t="array" ref="J67">SUMPRODUCT(--(ISNUMBER(SEARCH("Latvia", 'Inventory - Public Private FMS'!$J$17:$J$1792))
* ISNUMBER(SEARCH("Private", 'Inventory - Public Private FMS'!$L$17:$L$1792))
* ((ISNUMBER(SEARCH("Fish", 'Inventory - Public Private FMS'!$F$17:$F$1792)))
+ (ISNUMBER(SEARCH("All food commodities", 'Inventory - Public Private FMS'!$F$17:$F$1792))) &gt; 0)))</f>
        <v>0</v>
      </c>
      <c r="K67" s="247" cm="1">
        <f t="array" ref="K67">SUMPRODUCT(--(ISNUMBER(SEARCH("Latvia", 'Inventory - Public Private FMS'!$J$17:$J$1792))
* ISNUMBER(SEARCH("Private", 'Inventory - Public Private FMS'!$L$17:$L$1792))
* ((ISNUMBER(SEARCH("Cereals", 'Inventory - Public Private FMS'!$F$17:$F$1792)))
+ (ISNUMBER(SEARCH("All food commodities", 'Inventory - Public Private FMS'!$F$17:$F$1792))) &gt; 0)))</f>
        <v>0</v>
      </c>
      <c r="L67" s="224"/>
      <c r="M67" s="247" cm="1">
        <f t="array" ref="M67">SUMPRODUCT(--(ISNUMBER(SEARCH("Latvia", 'Inventory - Public Private FMS'!$J$17:$J$1792))
* ISNUMBER(SEARCH("Private", 'Inventory - Public Private FMS'!$L$17:$L$1792))
* ((ISNUMBER(SEARCH("Primary Production", 'Inventory - Public Private FMS'!$N$17:$N$1792)))
+ (ISNUMBER(SEARCH("All Stages", 'Inventory - Public Private FMS'!$N$17:$N$1792))) &gt; 0)))</f>
        <v>0</v>
      </c>
      <c r="N67" s="247" cm="1">
        <f t="array" ref="N67">SUMPRODUCT(--(ISNUMBER(SEARCH("Latvia", 'Inventory - Public Private FMS'!$J$17:$J$1792))
* ISNUMBER(SEARCH("Private", 'Inventory - Public Private FMS'!$L$17:$L$1792))
* ((ISNUMBER(SEARCH("Processing &amp; Manufacturing", 'Inventory - Public Private FMS'!$N$17:$N$1792)))
+ (ISNUMBER(SEARCH("All Stages", 'Inventory - Public Private FMS'!$N$17:$N$1792))) &gt; 0)))</f>
        <v>0</v>
      </c>
      <c r="O67" s="247" cm="1">
        <f t="array" ref="O67">SUMPRODUCT(--(ISNUMBER(SEARCH("Latvia", 'Inventory - Public Private FMS'!$J$17:$J$1792))
* ISNUMBER(SEARCH("Private", 'Inventory - Public Private FMS'!$L$17:$L$1792))
* ((ISNUMBER(SEARCH("Retail", 'Inventory - Public Private FMS'!$N$17:$N$1792)))
+ (ISNUMBER(SEARCH("All Stages", 'Inventory - Public Private FMS'!$N$17:$N$1792))) &gt; 0)))</f>
        <v>0</v>
      </c>
      <c r="P67" s="247" cm="1">
        <f t="array" ref="P67">SUMPRODUCT(--(ISNUMBER(SEARCH("Latvia", 'Inventory - Public Private FMS'!$J$17:$J$1792))
* ISNUMBER(SEARCH("Private", 'Inventory - Public Private FMS'!$L$17:$L$1792))
* ((ISNUMBER(SEARCH("Food services", 'Inventory - Public Private FMS'!$N$17:$N$1792)))
+ (ISNUMBER(SEARCH("All Stages", 'Inventory - Public Private FMS'!$N$17:$N$1792))) &gt; 0)))</f>
        <v>0</v>
      </c>
      <c r="Q67" s="224"/>
      <c r="R67" s="246" cm="1">
        <f t="array" ref="R67">SUMPRODUCT(--(ISNUMBER(SEARCH("Latvia",'Inventory - Public Private FMS'!$J$17:$J$1792))
*(ISNUMBER(SEARCH("Private",'Inventory - Public Private FMS'!$L$17:$L$1792)))&gt;0))</f>
        <v>0</v>
      </c>
    </row>
    <row r="68" spans="1:18">
      <c r="B68" s="248"/>
      <c r="C68" s="249" t="s">
        <v>3941</v>
      </c>
      <c r="D68" s="246">
        <f t="shared" ref="D68:K68" si="15">SUM(D66:D67)</f>
        <v>1</v>
      </c>
      <c r="E68" s="246">
        <f t="shared" si="15"/>
        <v>0</v>
      </c>
      <c r="F68" s="246">
        <f t="shared" si="15"/>
        <v>0</v>
      </c>
      <c r="G68" s="246">
        <f t="shared" si="15"/>
        <v>0</v>
      </c>
      <c r="H68" s="246">
        <f t="shared" si="15"/>
        <v>0</v>
      </c>
      <c r="I68" s="246">
        <f t="shared" si="15"/>
        <v>0</v>
      </c>
      <c r="J68" s="246">
        <f t="shared" si="15"/>
        <v>2</v>
      </c>
      <c r="K68" s="246">
        <f t="shared" si="15"/>
        <v>0</v>
      </c>
      <c r="L68" s="224"/>
      <c r="M68" s="246">
        <f>SUM(M66:M67)</f>
        <v>3</v>
      </c>
      <c r="N68" s="246">
        <f>SUM(N66:N67)</f>
        <v>3</v>
      </c>
      <c r="O68" s="246">
        <f>SUM(O66:O67)</f>
        <v>0</v>
      </c>
      <c r="P68" s="246">
        <f>SUM(P66:P67)</f>
        <v>0</v>
      </c>
      <c r="Q68" s="224"/>
      <c r="R68" s="246">
        <f>SUM(R66:R67)</f>
        <v>3</v>
      </c>
    </row>
    <row r="69" spans="1:18">
      <c r="B69" s="240" t="s">
        <v>3945</v>
      </c>
      <c r="C69" s="253" t="s">
        <v>3916</v>
      </c>
      <c r="D69" s="242" cm="1">
        <f t="array" ref="D69">SUMPRODUCT(--(ISNUMBER(SEARCH("Lithuania", 'Inventory - Public Private FMS'!$J$17:$J$1792))
* ((ISNUMBER(SEARCH("Fruits", 'Inventory - Public Private FMS'!$F$17:$F$1792)))
+ (ISNUMBER(SEARCH("Vegetables", 'Inventory - Public Private FMS'!$F$17:$F$1792)))
+ (ISNUMBER(SEARCH("All food commodities", 'Inventory - Public Private FMS'!$F$17:$F$1792))) &gt; 0)))</f>
        <v>0</v>
      </c>
      <c r="E69" s="242" cm="1">
        <f t="array" ref="E69">SUMPRODUCT(--(ISNUMBER(SEARCH("Lithuania",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69" s="242" cm="1">
        <f t="array" ref="F69">SUMPRODUCT(--(ISNUMBER(SEARCH("Lithuania",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69" s="242" cm="1">
        <f t="array" ref="G69">SUMPRODUCT(--(ISNUMBER(SEARCH("Lithuania",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69" s="242" cm="1">
        <f t="array" ref="H69">SUMPRODUCT(--(ISNUMBER(SEARCH("Lithuania",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69" s="242" cm="1">
        <f t="array" ref="I69">SUMPRODUCT(--(ISNUMBER(SEARCH("Lithuania", 'Inventory - Public Private FMS'!$J$17:$J$1792))
* ((ISNUMBER(SEARCH("Eggs", 'Inventory - Public Private FMS'!$F$17:$F$1792)))
+ (ISNUMBER(SEARCH("All food commodities", 'Inventory - Public Private FMS'!$F$17:$F$1792))) &gt; 0)))</f>
        <v>0</v>
      </c>
      <c r="J69" s="242" cm="1">
        <f t="array" ref="J69">SUMPRODUCT(--(ISNUMBER(SEARCH("Lithuania", 'Inventory - Public Private FMS'!$J$17:$J$1792))
* ((ISNUMBER(SEARCH("Fish", 'Inventory - Public Private FMS'!$F$17:$F$1792)))
+ (ISNUMBER(SEARCH("All food commodities", 'Inventory - Public Private FMS'!$F$17:$F$1792))) &gt; 0)))</f>
        <v>0</v>
      </c>
      <c r="K69" s="242" cm="1">
        <f t="array" ref="K69">SUMPRODUCT(--(ISNUMBER(SEARCH("Lithuania", 'Inventory - Public Private FMS'!$J$17:$J$1792))
* ((ISNUMBER(SEARCH("Cereals", 'Inventory - Public Private FMS'!$F$17:$F$1792)))
+ (ISNUMBER(SEARCH("All food commodities", 'Inventory - Public Private FMS'!$F$17:$F$1792))) &gt; 0)))</f>
        <v>0</v>
      </c>
      <c r="L69" s="221"/>
      <c r="M69" s="242" cm="1">
        <f t="array" ref="M69">SUMPRODUCT(--(ISNUMBER(SEARCH("Lithuania", 'Inventory - Public Private FMS'!$J$17:$J$1792))
* ((ISNUMBER(SEARCH("Primary Production", 'Inventory - Public Private FMS'!$N$17:$N$1792)))
+ (ISNUMBER(SEARCH("All Stages", 'Inventory - Public Private FMS'!$N$17:$N$1792))) &gt; 0)))</f>
        <v>0</v>
      </c>
      <c r="N69" s="242" cm="1">
        <f t="array" ref="N69">SUMPRODUCT(--(ISNUMBER(SEARCH("Lithuania", 'Inventory - Public Private FMS'!$J$17:$J$1792))
* ((ISNUMBER(SEARCH("Processing &amp; Manufacturing", 'Inventory - Public Private FMS'!$N$17:$N$1792)))
+ (ISNUMBER(SEARCH("All Stages", 'Inventory - Public Private FMS'!$N$17:$N$1792))) &gt; 0)))</f>
        <v>0</v>
      </c>
      <c r="O69" s="242" cm="1">
        <f t="array" ref="O69">SUMPRODUCT(--(ISNUMBER(SEARCH("Lithuania", 'Inventory - Public Private FMS'!$J$17:$J$1792))
* ((ISNUMBER(SEARCH("Retail", 'Inventory - Public Private FMS'!$N$17:$N$1792)))
+ (ISNUMBER(SEARCH("All Stages", 'Inventory - Public Private FMS'!$N$17:$N$1792))) &gt; 0)))</f>
        <v>0</v>
      </c>
      <c r="P69" s="242" cm="1">
        <f t="array" ref="P69">SUMPRODUCT(--(ISNUMBER(SEARCH("Lithuania", 'Inventory - Public Private FMS'!$J$17:$J$1792))
* ((ISNUMBER(SEARCH("Food services", 'Inventory - Public Private FMS'!$N$17:$N$1792)))
+ (ISNUMBER(SEARCH("All Stages", 'Inventory - Public Private FMS'!$N$17:$N$1792))) &gt; 0)))</f>
        <v>0</v>
      </c>
      <c r="Q69" s="221"/>
      <c r="R69" s="243">
        <f>COUNTIF('Inventory - Public Private FMS'!$J$17:$J$1792, "*Lithuania*")</f>
        <v>0</v>
      </c>
    </row>
    <row r="70" spans="1:18">
      <c r="B70" s="244"/>
      <c r="C70" s="126" t="s">
        <v>737</v>
      </c>
      <c r="D70" s="246" cm="1">
        <f t="array" ref="D70">SUMPRODUCT(--(ISNUMBER(SEARCH("Lithuania",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0</v>
      </c>
      <c r="E70" s="247" cm="1">
        <f t="array" ref="E70">SUMPRODUCT(--(ISNUMBER(SEARCH("Lithuania",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70" s="247" cm="1">
        <f t="array" ref="F70">SUMPRODUCT(--(ISNUMBER(SEARCH("Lithuania",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70" s="247" cm="1">
        <f t="array" ref="G70">SUMPRODUCT(--(ISNUMBER(SEARCH("Lithuania",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70" s="247" cm="1">
        <f t="array" ref="H70">SUMPRODUCT(--(ISNUMBER(SEARCH("Lithuania",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70" s="247" cm="1">
        <f t="array" ref="I70">SUMPRODUCT(--(ISNUMBER(SEARCH("Lithuania", 'Inventory - Public Private FMS'!$J$17:$J$1792))
* ISNUMBER(SEARCH("Public", 'Inventory - Public Private FMS'!$L$17:$L$1792))
* ((ISNUMBER(SEARCH("Eggs", 'Inventory - Public Private FMS'!$F$17:$F$1792)))
+ (ISNUMBER(SEARCH("All food commodities", 'Inventory - Public Private FMS'!$F$17:$F$1792))) &gt; 0)))</f>
        <v>0</v>
      </c>
      <c r="J70" s="247" cm="1">
        <f t="array" ref="J70">SUMPRODUCT(--(ISNUMBER(SEARCH("Lithuania", 'Inventory - Public Private FMS'!$J$17:$J$1792))
* ISNUMBER(SEARCH("Public", 'Inventory - Public Private FMS'!$L$17:$L$1792))
* ((ISNUMBER(SEARCH("Fish", 'Inventory - Public Private FMS'!$F$17:$F$1792)))
+ (ISNUMBER(SEARCH("All food commodities", 'Inventory - Public Private FMS'!$F$17:$F$1792))) &gt; 0)))</f>
        <v>0</v>
      </c>
      <c r="K70" s="247" cm="1">
        <f t="array" ref="K70">SUMPRODUCT(--(ISNUMBER(SEARCH("Lithuania", 'Inventory - Public Private FMS'!$J$17:$J$1792))
* ISNUMBER(SEARCH("Public", 'Inventory - Public Private FMS'!$L$17:$L$1792))
* ((ISNUMBER(SEARCH("Cereals", 'Inventory - Public Private FMS'!$F$17:$F$1792)))
+ (ISNUMBER(SEARCH("All food commodities", 'Inventory - Public Private FMS'!$F$17:$F$1792))) &gt; 0)))</f>
        <v>0</v>
      </c>
      <c r="L70" s="224"/>
      <c r="M70" s="247" cm="1">
        <f t="array" ref="M70">SUMPRODUCT(--(ISNUMBER(SEARCH("Lithuania", 'Inventory - Public Private FMS'!$J$17:$J$1792))
* ISNUMBER(SEARCH("Public", 'Inventory - Public Private FMS'!$L$17:$L$1792))
* ((ISNUMBER(SEARCH("Primary Production", 'Inventory - Public Private FMS'!$N$17:$N$1792)))
+ (ISNUMBER(SEARCH("All Stages", 'Inventory - Public Private FMS'!$N$17:$N$1792))) &gt; 0)))</f>
        <v>0</v>
      </c>
      <c r="N70" s="247" cm="1">
        <f t="array" ref="N70">SUMPRODUCT(--(ISNUMBER(SEARCH("Lithuania", 'Inventory - Public Private FMS'!$J$17:$J$1792))
* ISNUMBER(SEARCH("Public", 'Inventory - Public Private FMS'!$L$17:$L$1792))
* ((ISNUMBER(SEARCH("Processing &amp; Manufacturing", 'Inventory - Public Private FMS'!$N$17:$N$1792)))
+ (ISNUMBER(SEARCH("All Stages", 'Inventory - Public Private FMS'!$N$17:$N$1792))) &gt; 0)))</f>
        <v>0</v>
      </c>
      <c r="O70" s="247" cm="1">
        <f t="array" ref="O70">SUMPRODUCT(--(ISNUMBER(SEARCH("Lithuania", 'Inventory - Public Private FMS'!$J$17:$J$1792))
* ISNUMBER(SEARCH("Public", 'Inventory - Public Private FMS'!$L$17:$L$1792))
* ((ISNUMBER(SEARCH("Retail", 'Inventory - Public Private FMS'!$N$17:$N$1792)))
+ (ISNUMBER(SEARCH("All Stages", 'Inventory - Public Private FMS'!$N$17:$N$1792))) &gt; 0)))</f>
        <v>0</v>
      </c>
      <c r="P70" s="247" cm="1">
        <f t="array" ref="P70">SUMPRODUCT(--(ISNUMBER(SEARCH("Lithuania", 'Inventory - Public Private FMS'!$J$17:$J$1792))
* ISNUMBER(SEARCH("Public", 'Inventory - Public Private FMS'!$L$17:$L$1792))
* ((ISNUMBER(SEARCH("Food services", 'Inventory - Public Private FMS'!$N$17:$N$1792)))
+ (ISNUMBER(SEARCH("All Stages", 'Inventory - Public Private FMS'!$N$17:$N$1792))) &gt; 0)))</f>
        <v>0</v>
      </c>
      <c r="Q70" s="224"/>
      <c r="R70" s="246" cm="1">
        <f t="array" ref="R70">SUMPRODUCT(--(ISNUMBER(SEARCH("Lithuania",'Inventory - Public Private FMS'!$J$17:$J$1792))
*(ISNUMBER(SEARCH("Public",'Inventory - Public Private FMS'!$L$17:$L$1792)))&gt;0))</f>
        <v>0</v>
      </c>
    </row>
    <row r="71" spans="1:18">
      <c r="B71" s="248"/>
      <c r="C71" s="126" t="s">
        <v>74</v>
      </c>
      <c r="D71" s="246" cm="1">
        <f t="array" ref="D71">SUMPRODUCT(--(ISNUMBER(SEARCH("Lithuania",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71" s="247" cm="1">
        <f t="array" ref="E71">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71" s="247" cm="1">
        <f t="array" ref="F71">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71" s="247" cm="1">
        <f t="array" ref="G71">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71" s="247" cm="1">
        <f t="array" ref="H71">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71" s="247" cm="1">
        <f t="array" ref="I71">SUMPRODUCT(--(ISNUMBER(SEARCH("Lithuania", 'Inventory - Public Private FMS'!$J$17:$J$1792))
* ISNUMBER(SEARCH("Private", 'Inventory - Public Private FMS'!$L$17:$L$1792))
* ((ISNUMBER(SEARCH("Eggs", 'Inventory - Public Private FMS'!$F$17:$F$1792)))
+ (ISNUMBER(SEARCH("All food commodities", 'Inventory - Public Private FMS'!$F$17:$F$1792))) &gt; 0)))</f>
        <v>0</v>
      </c>
      <c r="J71" s="247" cm="1">
        <f t="array" ref="J71">SUMPRODUCT(--(ISNUMBER(SEARCH("Lithuania", 'Inventory - Public Private FMS'!$J$17:$J$1792))
* ISNUMBER(SEARCH("Private", 'Inventory - Public Private FMS'!$L$17:$L$1792))
* ((ISNUMBER(SEARCH("Fish", 'Inventory - Public Private FMS'!$F$17:$F$1792)))
+ (ISNUMBER(SEARCH("All food commodities", 'Inventory - Public Private FMS'!$F$17:$F$1792))) &gt; 0)))</f>
        <v>0</v>
      </c>
      <c r="K71" s="247" cm="1">
        <f t="array" ref="K71">SUMPRODUCT(--(ISNUMBER(SEARCH("Lithuania", 'Inventory - Public Private FMS'!$J$17:$J$1792))
* ISNUMBER(SEARCH("Private", 'Inventory - Public Private FMS'!$L$17:$L$1792))
* ((ISNUMBER(SEARCH("Cereals", 'Inventory - Public Private FMS'!$F$17:$F$1792)))
+ (ISNUMBER(SEARCH("All food commodities", 'Inventory - Public Private FMS'!$F$17:$F$1792))) &gt; 0)))</f>
        <v>0</v>
      </c>
      <c r="L71" s="224"/>
      <c r="M71" s="247" cm="1">
        <f t="array" ref="M71">SUMPRODUCT(--(ISNUMBER(SEARCH("Lithuania", 'Inventory - Public Private FMS'!$J$17:$J$1792))
* ISNUMBER(SEARCH("Private", 'Inventory - Public Private FMS'!$L$17:$L$1792))
* ((ISNUMBER(SEARCH("Primary Production", 'Inventory - Public Private FMS'!$N$17:$N$1792)))
+ (ISNUMBER(SEARCH("All Stages", 'Inventory - Public Private FMS'!$N$17:$N$1792))) &gt; 0)))</f>
        <v>0</v>
      </c>
      <c r="N71" s="247" cm="1">
        <f t="array" ref="N71">SUMPRODUCT(--(ISNUMBER(SEARCH("Lithuania", 'Inventory - Public Private FMS'!$J$17:$J$1792))
* ISNUMBER(SEARCH("Private", 'Inventory - Public Private FMS'!$L$17:$L$1792))
* ((ISNUMBER(SEARCH("Processing &amp; Manufacturing", 'Inventory - Public Private FMS'!$N$17:$N$1792)))
+ (ISNUMBER(SEARCH("All Stages", 'Inventory - Public Private FMS'!$N$17:$N$1792))) &gt; 0)))</f>
        <v>0</v>
      </c>
      <c r="O71" s="247" cm="1">
        <f t="array" ref="O71">SUMPRODUCT(--(ISNUMBER(SEARCH("Lithuania", 'Inventory - Public Private FMS'!$J$17:$J$1792))
* ISNUMBER(SEARCH("Private", 'Inventory - Public Private FMS'!$L$17:$L$1792))
* ((ISNUMBER(SEARCH("Retail", 'Inventory - Public Private FMS'!$N$17:$N$1792)))
+ (ISNUMBER(SEARCH("All Stages", 'Inventory - Public Private FMS'!$N$17:$N$1792))) &gt; 0)))</f>
        <v>0</v>
      </c>
      <c r="P71" s="247" cm="1">
        <f t="array" ref="P71">SUMPRODUCT(--(ISNUMBER(SEARCH("Lithuania", 'Inventory - Public Private FMS'!$J$17:$J$1792))
* ISNUMBER(SEARCH("Private", 'Inventory - Public Private FMS'!$L$17:$L$1792))
* ((ISNUMBER(SEARCH("Food services", 'Inventory - Public Private FMS'!$N$17:$N$1792)))
+ (ISNUMBER(SEARCH("All Stages", 'Inventory - Public Private FMS'!$N$17:$N$1792))) &gt; 0)))</f>
        <v>0</v>
      </c>
      <c r="Q71" s="224"/>
      <c r="R71" s="246" cm="1">
        <f t="array" ref="R71">SUMPRODUCT(--(ISNUMBER(SEARCH("Lithuania",'Inventory - Public Private FMS'!$J$17:$J$1792))
*(ISNUMBER(SEARCH("Private",'Inventory - Public Private FMS'!$L$17:$L$1792)))&gt;0))</f>
        <v>0</v>
      </c>
    </row>
    <row r="72" spans="1:18">
      <c r="B72" s="248"/>
      <c r="C72" s="249" t="s">
        <v>3941</v>
      </c>
      <c r="D72" s="246">
        <f t="shared" ref="D72:K72" si="16">SUM(D70:D71)</f>
        <v>0</v>
      </c>
      <c r="E72" s="246">
        <f t="shared" si="16"/>
        <v>0</v>
      </c>
      <c r="F72" s="246">
        <f t="shared" si="16"/>
        <v>0</v>
      </c>
      <c r="G72" s="246">
        <f t="shared" si="16"/>
        <v>0</v>
      </c>
      <c r="H72" s="246">
        <f t="shared" si="16"/>
        <v>0</v>
      </c>
      <c r="I72" s="246">
        <f t="shared" si="16"/>
        <v>0</v>
      </c>
      <c r="J72" s="246">
        <f t="shared" si="16"/>
        <v>0</v>
      </c>
      <c r="K72" s="246">
        <f t="shared" si="16"/>
        <v>0</v>
      </c>
      <c r="L72" s="224"/>
      <c r="M72" s="246">
        <f>SUM(M70:M71)</f>
        <v>0</v>
      </c>
      <c r="N72" s="246">
        <f>SUM(N70:N71)</f>
        <v>0</v>
      </c>
      <c r="O72" s="246">
        <f>SUM(O70:O71)</f>
        <v>0</v>
      </c>
      <c r="P72" s="246">
        <f>SUM(P70:P71)</f>
        <v>0</v>
      </c>
      <c r="Q72" s="224"/>
      <c r="R72" s="246">
        <f>SUM(R70:R71)</f>
        <v>0</v>
      </c>
    </row>
    <row r="73" spans="1:18">
      <c r="B73" s="240" t="s">
        <v>3946</v>
      </c>
      <c r="C73" s="253" t="s">
        <v>3916</v>
      </c>
      <c r="D73" s="242" cm="1">
        <f t="array" ref="D73">SUMPRODUCT(--(ISNUMBER(SEARCH("Luxembourg", 'Inventory - Public Private FMS'!$J$17:$J$1792))
* ((ISNUMBER(SEARCH("Fruits", 'Inventory - Public Private FMS'!$F$17:$F$1792)))
+ (ISNUMBER(SEARCH("Vegetables", 'Inventory - Public Private FMS'!$F$17:$F$1792)))
+ (ISNUMBER(SEARCH("All food commodities", 'Inventory - Public Private FMS'!$F$17:$F$1792))) &gt; 0)))</f>
        <v>1</v>
      </c>
      <c r="E73" s="242" cm="1">
        <f t="array" ref="E73">SUMPRODUCT(--(ISNUMBER(SEARCH("Luxembourg",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1</v>
      </c>
      <c r="F73" s="242" cm="1">
        <f t="array" ref="F73">SUMPRODUCT(--(ISNUMBER(SEARCH("Luxembourg",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v>
      </c>
      <c r="G73" s="242" cm="1">
        <f t="array" ref="G73">SUMPRODUCT(--(ISNUMBER(SEARCH("Luxembourg",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v>
      </c>
      <c r="H73" s="242" cm="1">
        <f t="array" ref="H73">SUMPRODUCT(--(ISNUMBER(SEARCH("Luxembourg",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73" s="242" cm="1">
        <f t="array" ref="I73">SUMPRODUCT(--(ISNUMBER(SEARCH("Luxembourg", 'Inventory - Public Private FMS'!$J$17:$J$1792))
* ((ISNUMBER(SEARCH("Eggs", 'Inventory - Public Private FMS'!$F$17:$F$1792)))
+ (ISNUMBER(SEARCH("All food commodities", 'Inventory - Public Private FMS'!$F$17:$F$1792))) &gt; 0)))</f>
        <v>1</v>
      </c>
      <c r="J73" s="242" cm="1">
        <f t="array" ref="J73">SUMPRODUCT(--(ISNUMBER(SEARCH("Luxembourg", 'Inventory - Public Private FMS'!$J$17:$J$1792))
* ((ISNUMBER(SEARCH("Fish", 'Inventory - Public Private FMS'!$F$17:$F$1792)))
+ (ISNUMBER(SEARCH("All food commodities", 'Inventory - Public Private FMS'!$F$17:$F$1792))) &gt; 0)))</f>
        <v>1</v>
      </c>
      <c r="K73" s="242" cm="1">
        <f t="array" ref="K73">SUMPRODUCT(--(ISNUMBER(SEARCH("Luxembourg", 'Inventory - Public Private FMS'!$J$17:$J$1792))
* ((ISNUMBER(SEARCH("Cereals", 'Inventory - Public Private FMS'!$F$17:$F$1792)))
+ (ISNUMBER(SEARCH("All food commodities", 'Inventory - Public Private FMS'!$F$17:$F$1792))) &gt; 0)))</f>
        <v>1</v>
      </c>
      <c r="L73" s="221"/>
      <c r="M73" s="242" cm="1">
        <f t="array" ref="M73">SUMPRODUCT(--(ISNUMBER(SEARCH("Luxembourg", 'Inventory - Public Private FMS'!$J$17:$J$1792))
* ((ISNUMBER(SEARCH("Primary Production", 'Inventory - Public Private FMS'!$N$17:$N$1792)))
+ (ISNUMBER(SEARCH("All Stages", 'Inventory - Public Private FMS'!$N$17:$N$1792))) &gt; 0)))</f>
        <v>0</v>
      </c>
      <c r="N73" s="242" cm="1">
        <f t="array" ref="N73">SUMPRODUCT(--(ISNUMBER(SEARCH("Luxembourg", 'Inventory - Public Private FMS'!$J$17:$J$1792))
* ((ISNUMBER(SEARCH("Processing &amp; Manufacturing", 'Inventory - Public Private FMS'!$N$17:$N$1792)))
+ (ISNUMBER(SEARCH("All Stages", 'Inventory - Public Private FMS'!$N$17:$N$1792))) &gt; 0)))</f>
        <v>0</v>
      </c>
      <c r="O73" s="242" cm="1">
        <f t="array" ref="O73">SUMPRODUCT(--(ISNUMBER(SEARCH("Luxembourg", 'Inventory - Public Private FMS'!$J$17:$J$1792))
* ((ISNUMBER(SEARCH("Retail", 'Inventory - Public Private FMS'!$N$17:$N$1792)))
+ (ISNUMBER(SEARCH("All Stages", 'Inventory - Public Private FMS'!$N$17:$N$1792))) &gt; 0)))</f>
        <v>1</v>
      </c>
      <c r="P73" s="242" cm="1">
        <f t="array" ref="P73">SUMPRODUCT(--(ISNUMBER(SEARCH("Luxembourg", 'Inventory - Public Private FMS'!$J$17:$J$1792))
* ((ISNUMBER(SEARCH("Food services", 'Inventory - Public Private FMS'!$N$17:$N$1792)))
+ (ISNUMBER(SEARCH("All Stages", 'Inventory - Public Private FMS'!$N$17:$N$1792))) &gt; 0)))</f>
        <v>0</v>
      </c>
      <c r="Q73" s="221"/>
      <c r="R73" s="243">
        <f>COUNTIF('Inventory - Public Private FMS'!$J$17:$J$1792, "*Luxembourg*")</f>
        <v>1</v>
      </c>
    </row>
    <row r="74" spans="1:18">
      <c r="B74" s="244"/>
      <c r="C74" s="126" t="s">
        <v>737</v>
      </c>
      <c r="D74" s="246" cm="1">
        <f t="array" ref="D74">SUMPRODUCT(--(ISNUMBER(SEARCH("Luxembourg",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v>
      </c>
      <c r="E74" s="247" cm="1">
        <f t="array" ref="E74">SUMPRODUCT(--(ISNUMBER(SEARCH("Luxembourg",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74" s="247" cm="1">
        <f t="array" ref="F74">SUMPRODUCT(--(ISNUMBER(SEARCH("Luxembourg",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G74" s="247" cm="1">
        <f t="array" ref="G74">SUMPRODUCT(--(ISNUMBER(SEARCH("Luxembourg",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H74" s="247" cm="1">
        <f t="array" ref="H74">SUMPRODUCT(--(ISNUMBER(SEARCH("Luxembourg",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74" s="247" cm="1">
        <f t="array" ref="I74">SUMPRODUCT(--(ISNUMBER(SEARCH("Luxembourg", 'Inventory - Public Private FMS'!$J$17:$J$1792))
* ISNUMBER(SEARCH("Public", 'Inventory - Public Private FMS'!$L$17:$L$1792))
* ((ISNUMBER(SEARCH("Eggs", 'Inventory - Public Private FMS'!$F$17:$F$1792)))
+ (ISNUMBER(SEARCH("All food commodities", 'Inventory - Public Private FMS'!$F$17:$F$1792))) &gt; 0)))</f>
        <v>1</v>
      </c>
      <c r="J74" s="247" cm="1">
        <f t="array" ref="J74">SUMPRODUCT(--(ISNUMBER(SEARCH("Luxembourg", 'Inventory - Public Private FMS'!$J$17:$J$1792))
* ISNUMBER(SEARCH("Public", 'Inventory - Public Private FMS'!$L$17:$L$1792))
* ((ISNUMBER(SEARCH("Fish", 'Inventory - Public Private FMS'!$F$17:$F$1792)))
+ (ISNUMBER(SEARCH("All food commodities", 'Inventory - Public Private FMS'!$F$17:$F$1792))) &gt; 0)))</f>
        <v>1</v>
      </c>
      <c r="K74" s="247" cm="1">
        <f t="array" ref="K74">SUMPRODUCT(--(ISNUMBER(SEARCH("Luxembourg", 'Inventory - Public Private FMS'!$J$17:$J$1792))
* ISNUMBER(SEARCH("Public", 'Inventory - Public Private FMS'!$L$17:$L$1792))
* ((ISNUMBER(SEARCH("Cereals", 'Inventory - Public Private FMS'!$F$17:$F$1792)))
+ (ISNUMBER(SEARCH("All food commodities", 'Inventory - Public Private FMS'!$F$17:$F$1792))) &gt; 0)))</f>
        <v>1</v>
      </c>
      <c r="L74" s="224"/>
      <c r="M74" s="247" cm="1">
        <f t="array" ref="M74">SUMPRODUCT(--(ISNUMBER(SEARCH("Luxembourg", 'Inventory - Public Private FMS'!$J$17:$J$1792))
* ISNUMBER(SEARCH("Public", 'Inventory - Public Private FMS'!$L$17:$L$1792))
* ((ISNUMBER(SEARCH("Primary Production", 'Inventory - Public Private FMS'!$N$17:$N$1792)))
+ (ISNUMBER(SEARCH("All Stages", 'Inventory - Public Private FMS'!$N$17:$N$1792))) &gt; 0)))</f>
        <v>0</v>
      </c>
      <c r="N74" s="247" cm="1">
        <f t="array" ref="N74">SUMPRODUCT(--(ISNUMBER(SEARCH("Luxembourg", 'Inventory - Public Private FMS'!$J$17:$J$1792))
* ISNUMBER(SEARCH("Public", 'Inventory - Public Private FMS'!$L$17:$L$1792))
* ((ISNUMBER(SEARCH("Processing &amp; Manufacturing", 'Inventory - Public Private FMS'!$N$17:$N$1792)))
+ (ISNUMBER(SEARCH("All Stages", 'Inventory - Public Private FMS'!$N$17:$N$1792))) &gt; 0)))</f>
        <v>0</v>
      </c>
      <c r="O74" s="247" cm="1">
        <f t="array" ref="O74">SUMPRODUCT(--(ISNUMBER(SEARCH("Luxembourg", 'Inventory - Public Private FMS'!$J$17:$J$1792))
* ISNUMBER(SEARCH("Public", 'Inventory - Public Private FMS'!$L$17:$L$1792))
* ((ISNUMBER(SEARCH("Retail", 'Inventory - Public Private FMS'!$N$17:$N$1792)))
+ (ISNUMBER(SEARCH("All Stages", 'Inventory - Public Private FMS'!$N$17:$N$1792))) &gt; 0)))</f>
        <v>1</v>
      </c>
      <c r="P74" s="247" cm="1">
        <f t="array" ref="P74">SUMPRODUCT(--(ISNUMBER(SEARCH("Luxembourg", 'Inventory - Public Private FMS'!$J$17:$J$1792))
* ISNUMBER(SEARCH("Public", 'Inventory - Public Private FMS'!$L$17:$L$1792))
* ((ISNUMBER(SEARCH("Food services", 'Inventory - Public Private FMS'!$N$17:$N$1792)))
+ (ISNUMBER(SEARCH("All Stages", 'Inventory - Public Private FMS'!$N$17:$N$1792))) &gt; 0)))</f>
        <v>0</v>
      </c>
      <c r="Q74" s="224"/>
      <c r="R74" s="246" cm="1">
        <f t="array" ref="R74">SUMPRODUCT(--(ISNUMBER(SEARCH("Luxembourg",'Inventory - Public Private FMS'!$J$17:$J$1792))
*(ISNUMBER(SEARCH("Public",'Inventory - Public Private FMS'!$L$17:$L$1792)))&gt;0))</f>
        <v>1</v>
      </c>
    </row>
    <row r="75" spans="1:18">
      <c r="B75" s="248"/>
      <c r="C75" s="126" t="s">
        <v>74</v>
      </c>
      <c r="D75" s="246" cm="1">
        <f t="array" ref="D75">SUMPRODUCT(--(ISNUMBER(SEARCH("Luxembourg",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75" s="247" cm="1">
        <f t="array" ref="E75">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75" s="247" cm="1">
        <f t="array" ref="F75">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75" s="247" cm="1">
        <f t="array" ref="G75">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75" s="247" cm="1">
        <f t="array" ref="H75">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75" s="247" cm="1">
        <f t="array" ref="I75">SUMPRODUCT(--(ISNUMBER(SEARCH("Luxembourg", 'Inventory - Public Private FMS'!$J$17:$J$1792))
* ISNUMBER(SEARCH("Private", 'Inventory - Public Private FMS'!$L$17:$L$1792))
* ((ISNUMBER(SEARCH("Eggs", 'Inventory - Public Private FMS'!$F$17:$F$1792)))
+ (ISNUMBER(SEARCH("All food commodities", 'Inventory - Public Private FMS'!$F$17:$F$1792))) &gt; 0)))</f>
        <v>0</v>
      </c>
      <c r="J75" s="247" cm="1">
        <f t="array" ref="J75">SUMPRODUCT(--(ISNUMBER(SEARCH("Luxembourg", 'Inventory - Public Private FMS'!$J$17:$J$1792))
* ISNUMBER(SEARCH("Private", 'Inventory - Public Private FMS'!$L$17:$L$1792))
* ((ISNUMBER(SEARCH("Fish", 'Inventory - Public Private FMS'!$F$17:$F$1792)))
+ (ISNUMBER(SEARCH("All food commodities", 'Inventory - Public Private FMS'!$F$17:$F$1792))) &gt; 0)))</f>
        <v>0</v>
      </c>
      <c r="K75" s="247" cm="1">
        <f t="array" ref="K75">SUMPRODUCT(--(ISNUMBER(SEARCH("Luxembourg", 'Inventory - Public Private FMS'!$J$17:$J$1792))
* ISNUMBER(SEARCH("Private", 'Inventory - Public Private FMS'!$L$17:$L$1792))
* ((ISNUMBER(SEARCH("Cereals", 'Inventory - Public Private FMS'!$F$17:$F$1792)))
+ (ISNUMBER(SEARCH("All food commodities", 'Inventory - Public Private FMS'!$F$17:$F$1792))) &gt; 0)))</f>
        <v>0</v>
      </c>
      <c r="L75" s="224"/>
      <c r="M75" s="247" cm="1">
        <f t="array" ref="M75">SUMPRODUCT(--(ISNUMBER(SEARCH("Luxembourg", 'Inventory - Public Private FMS'!$J$17:$J$1792))
* ISNUMBER(SEARCH("Private", 'Inventory - Public Private FMS'!$L$17:$L$1792))
* ((ISNUMBER(SEARCH("Primary Production", 'Inventory - Public Private FMS'!$N$17:$N$1792)))
+ (ISNUMBER(SEARCH("All Stages", 'Inventory - Public Private FMS'!$N$17:$N$1792))) &gt; 0)))</f>
        <v>0</v>
      </c>
      <c r="N75" s="247" cm="1">
        <f t="array" ref="N75">SUMPRODUCT(--(ISNUMBER(SEARCH("Luxembourg", 'Inventory - Public Private FMS'!$J$17:$J$1792))
* ISNUMBER(SEARCH("Private", 'Inventory - Public Private FMS'!$L$17:$L$1792))
* ((ISNUMBER(SEARCH("Processing &amp; Manufacturing", 'Inventory - Public Private FMS'!$N$17:$N$1792)))
+ (ISNUMBER(SEARCH("All Stages", 'Inventory - Public Private FMS'!$N$17:$N$1792))) &gt; 0)))</f>
        <v>0</v>
      </c>
      <c r="O75" s="247" cm="1">
        <f t="array" ref="O75">SUMPRODUCT(--(ISNUMBER(SEARCH("Luxembourg", 'Inventory - Public Private FMS'!$J$17:$J$1792))
* ISNUMBER(SEARCH("Private", 'Inventory - Public Private FMS'!$L$17:$L$1792))
* ((ISNUMBER(SEARCH("Retail", 'Inventory - Public Private FMS'!$N$17:$N$1792)))
+ (ISNUMBER(SEARCH("All Stages", 'Inventory - Public Private FMS'!$N$17:$N$1792))) &gt; 0)))</f>
        <v>0</v>
      </c>
      <c r="P75" s="247" cm="1">
        <f t="array" ref="P75">SUMPRODUCT(--(ISNUMBER(SEARCH("Luxembourg", 'Inventory - Public Private FMS'!$J$17:$J$1792))
* ISNUMBER(SEARCH("Private", 'Inventory - Public Private FMS'!$L$17:$L$1792))
* ((ISNUMBER(SEARCH("Food services", 'Inventory - Public Private FMS'!$N$17:$N$1792)))
+ (ISNUMBER(SEARCH("All Stages", 'Inventory - Public Private FMS'!$N$17:$N$1792))) &gt; 0)))</f>
        <v>0</v>
      </c>
      <c r="Q75" s="224"/>
      <c r="R75" s="246" cm="1">
        <f t="array" ref="R75">SUMPRODUCT(--(ISNUMBER(SEARCH("Luxembourg",'Inventory - Public Private FMS'!$J$17:$J$1792))
*(ISNUMBER(SEARCH("Private",'Inventory - Public Private FMS'!$L$17:$L$1792)))&gt;0))</f>
        <v>0</v>
      </c>
    </row>
    <row r="76" spans="1:18">
      <c r="A76" s="259"/>
      <c r="B76" s="248"/>
      <c r="C76" s="249" t="s">
        <v>3941</v>
      </c>
      <c r="D76" s="246">
        <f t="shared" ref="D76:K76" si="17">SUM(D74:D75)</f>
        <v>1</v>
      </c>
      <c r="E76" s="246">
        <f t="shared" si="17"/>
        <v>1</v>
      </c>
      <c r="F76" s="246">
        <f t="shared" si="17"/>
        <v>1</v>
      </c>
      <c r="G76" s="246">
        <f t="shared" si="17"/>
        <v>1</v>
      </c>
      <c r="H76" s="246">
        <f t="shared" si="17"/>
        <v>1</v>
      </c>
      <c r="I76" s="246">
        <f t="shared" si="17"/>
        <v>1</v>
      </c>
      <c r="J76" s="246">
        <f t="shared" si="17"/>
        <v>1</v>
      </c>
      <c r="K76" s="246">
        <f t="shared" si="17"/>
        <v>1</v>
      </c>
      <c r="L76" s="224"/>
      <c r="M76" s="246">
        <f>SUM(M74:M75)</f>
        <v>0</v>
      </c>
      <c r="N76" s="246">
        <f>SUM(N74:N75)</f>
        <v>0</v>
      </c>
      <c r="O76" s="246">
        <f>SUM(O74:O75)</f>
        <v>1</v>
      </c>
      <c r="P76" s="246">
        <f>SUM(P74:P75)</f>
        <v>0</v>
      </c>
      <c r="Q76" s="224"/>
      <c r="R76" s="246">
        <f>SUM(R74:R75)</f>
        <v>1</v>
      </c>
    </row>
    <row r="77" spans="1:18">
      <c r="B77" s="240" t="s">
        <v>3205</v>
      </c>
      <c r="C77" s="253" t="s">
        <v>3916</v>
      </c>
      <c r="D77" s="242" cm="1">
        <f t="array" ref="D77">SUMPRODUCT(--(ISNUMBER(SEARCH("Malta", 'Inventory - Public Private FMS'!$J$17:$J$1792))
* ((ISNUMBER(SEARCH("Fruits", 'Inventory - Public Private FMS'!$F$17:$F$1792)))
+ (ISNUMBER(SEARCH("Vegetables", 'Inventory - Public Private FMS'!$F$17:$F$1792)))
+ (ISNUMBER(SEARCH("All food commodities", 'Inventory - Public Private FMS'!$F$17:$F$1792))) &gt; 0)))</f>
        <v>2</v>
      </c>
      <c r="E77" s="242" cm="1">
        <f t="array" ref="E77">SUMPRODUCT(--(ISNUMBER(SEARCH("Malta",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77" s="242" cm="1">
        <f t="array" ref="F77">SUMPRODUCT(--(ISNUMBER(SEARCH("Malta",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2</v>
      </c>
      <c r="G77" s="242" cm="1">
        <f t="array" ref="G77">SUMPRODUCT(--(ISNUMBER(SEARCH("Malta",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77" s="242" cm="1">
        <f t="array" ref="H77">SUMPRODUCT(--(ISNUMBER(SEARCH("Malta",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v>
      </c>
      <c r="I77" s="242" cm="1">
        <f t="array" ref="I77">SUMPRODUCT(--(ISNUMBER(SEARCH("Malta", 'Inventory - Public Private FMS'!$J$17:$J$1792))
* ((ISNUMBER(SEARCH("Eggs", 'Inventory - Public Private FMS'!$F$17:$F$1792)))
+ (ISNUMBER(SEARCH("All food commodities", 'Inventory - Public Private FMS'!$F$17:$F$1792))) &gt; 0)))</f>
        <v>0</v>
      </c>
      <c r="J77" s="242" cm="1">
        <f t="array" ref="J77">SUMPRODUCT(--(ISNUMBER(SEARCH("Malta", 'Inventory - Public Private FMS'!$J$17:$J$1792))
* ((ISNUMBER(SEARCH("Fish", 'Inventory - Public Private FMS'!$F$17:$F$1792)))
+ (ISNUMBER(SEARCH("All food commodities", 'Inventory - Public Private FMS'!$F$17:$F$1792))) &gt; 0)))</f>
        <v>2</v>
      </c>
      <c r="K77" s="242" cm="1">
        <f t="array" ref="K77">SUMPRODUCT(--(ISNUMBER(SEARCH("Malta", 'Inventory - Public Private FMS'!$J$17:$J$1792))
* ((ISNUMBER(SEARCH("Cereals", 'Inventory - Public Private FMS'!$F$17:$F$1792)))
+ (ISNUMBER(SEARCH("All food commodities", 'Inventory - Public Private FMS'!$F$17:$F$1792))) &gt; 0)))</f>
        <v>0</v>
      </c>
      <c r="L77" s="221"/>
      <c r="M77" s="242" cm="1">
        <f t="array" ref="M77">SUMPRODUCT(--(ISNUMBER(SEARCH("Malta", 'Inventory - Public Private FMS'!$J$17:$J$1792))
* ((ISNUMBER(SEARCH("Primary Production", 'Inventory - Public Private FMS'!$N$17:$N$1792)))
+ (ISNUMBER(SEARCH("All Stages", 'Inventory - Public Private FMS'!$N$17:$N$1792))) &gt; 0)))</f>
        <v>1</v>
      </c>
      <c r="N77" s="242" cm="1">
        <f t="array" ref="N77">SUMPRODUCT(--(ISNUMBER(SEARCH("Malta", 'Inventory - Public Private FMS'!$J$17:$J$1792))
* ((ISNUMBER(SEARCH("Processing &amp; Manufacturing", 'Inventory - Public Private FMS'!$N$17:$N$1792)))
+ (ISNUMBER(SEARCH("All Stages", 'Inventory - Public Private FMS'!$N$17:$N$1792))) &gt; 0)))</f>
        <v>4</v>
      </c>
      <c r="O77" s="242" cm="1">
        <f t="array" ref="O77">SUMPRODUCT(--(ISNUMBER(SEARCH("Malta", 'Inventory - Public Private FMS'!$J$17:$J$1792))
* ((ISNUMBER(SEARCH("Retail", 'Inventory - Public Private FMS'!$N$17:$N$1792)))
+ (ISNUMBER(SEARCH("All Stages", 'Inventory - Public Private FMS'!$N$17:$N$1792))) &gt; 0)))</f>
        <v>0</v>
      </c>
      <c r="P77" s="242" cm="1">
        <f t="array" ref="P77">SUMPRODUCT(--(ISNUMBER(SEARCH("Malta", 'Inventory - Public Private FMS'!$J$17:$J$1792))
* ((ISNUMBER(SEARCH("Food services", 'Inventory - Public Private FMS'!$N$17:$N$1792)))
+ (ISNUMBER(SEARCH("All Stages", 'Inventory - Public Private FMS'!$N$17:$N$1792))) &gt; 0)))</f>
        <v>0</v>
      </c>
      <c r="Q77" s="221"/>
      <c r="R77" s="243">
        <f>COUNTIF('Inventory - Public Private FMS'!$J$17:$J$1792, "*Malta*")</f>
        <v>5</v>
      </c>
    </row>
    <row r="78" spans="1:18">
      <c r="B78" s="244"/>
      <c r="C78" s="126" t="s">
        <v>737</v>
      </c>
      <c r="D78" s="246" cm="1">
        <f t="array" ref="D78">SUMPRODUCT(--(ISNUMBER(SEARCH("Malta",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2</v>
      </c>
      <c r="E78" s="247" cm="1">
        <f t="array" ref="E78">SUMPRODUCT(--(ISNUMBER(SEARCH("Malta",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78" s="247" cm="1">
        <f t="array" ref="F78">SUMPRODUCT(--(ISNUMBER(SEARCH("Malta",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2</v>
      </c>
      <c r="G78" s="247" cm="1">
        <f t="array" ref="G78">SUMPRODUCT(--(ISNUMBER(SEARCH("Malta",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78" s="247" cm="1">
        <f t="array" ref="H78">SUMPRODUCT(--(ISNUMBER(SEARCH("Malta",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v>
      </c>
      <c r="I78" s="247" cm="1">
        <f t="array" ref="I78">SUMPRODUCT(--(ISNUMBER(SEARCH("Malta", 'Inventory - Public Private FMS'!$J$17:$J$1792))
* ISNUMBER(SEARCH("Public", 'Inventory - Public Private FMS'!$L$17:$L$1792))
* ((ISNUMBER(SEARCH("Eggs", 'Inventory - Public Private FMS'!$F$17:$F$1792)))
+ (ISNUMBER(SEARCH("All food commodities", 'Inventory - Public Private FMS'!$F$17:$F$1792))) &gt; 0)))</f>
        <v>0</v>
      </c>
      <c r="J78" s="247" cm="1">
        <f t="array" ref="J78">SUMPRODUCT(--(ISNUMBER(SEARCH("Malta", 'Inventory - Public Private FMS'!$J$17:$J$1792))
* ISNUMBER(SEARCH("Public", 'Inventory - Public Private FMS'!$L$17:$L$1792))
* ((ISNUMBER(SEARCH("Fish", 'Inventory - Public Private FMS'!$F$17:$F$1792)))
+ (ISNUMBER(SEARCH("All food commodities", 'Inventory - Public Private FMS'!$F$17:$F$1792))) &gt; 0)))</f>
        <v>2</v>
      </c>
      <c r="K78" s="247" cm="1">
        <f t="array" ref="K78">SUMPRODUCT(--(ISNUMBER(SEARCH("Malta", 'Inventory - Public Private FMS'!$J$17:$J$1792))
* ISNUMBER(SEARCH("Public", 'Inventory - Public Private FMS'!$L$17:$L$1792))
* ((ISNUMBER(SEARCH("Cereals", 'Inventory - Public Private FMS'!$F$17:$F$1792)))
+ (ISNUMBER(SEARCH("All food commodities", 'Inventory - Public Private FMS'!$F$17:$F$1792))) &gt; 0)))</f>
        <v>0</v>
      </c>
      <c r="L78" s="224"/>
      <c r="M78" s="247" cm="1">
        <f t="array" ref="M78">SUMPRODUCT(--(ISNUMBER(SEARCH("Malta", 'Inventory - Public Private FMS'!$J$17:$J$1792))
* ISNUMBER(SEARCH("Public", 'Inventory - Public Private FMS'!$L$17:$L$1792))
* ((ISNUMBER(SEARCH("Primary Production", 'Inventory - Public Private FMS'!$N$17:$N$1792)))
+ (ISNUMBER(SEARCH("All Stages", 'Inventory - Public Private FMS'!$N$17:$N$1792))) &gt; 0)))</f>
        <v>1</v>
      </c>
      <c r="N78" s="247" cm="1">
        <f t="array" ref="N78">SUMPRODUCT(--(ISNUMBER(SEARCH("Malta", 'Inventory - Public Private FMS'!$J$17:$J$1792))
* ISNUMBER(SEARCH("Public", 'Inventory - Public Private FMS'!$L$17:$L$1792))
* ((ISNUMBER(SEARCH("Processing &amp; Manufacturing", 'Inventory - Public Private FMS'!$N$17:$N$1792)))
+ (ISNUMBER(SEARCH("All Stages", 'Inventory - Public Private FMS'!$N$17:$N$1792))) &gt; 0)))</f>
        <v>4</v>
      </c>
      <c r="O78" s="247" cm="1">
        <f t="array" ref="O78">SUMPRODUCT(--(ISNUMBER(SEARCH("Malta", 'Inventory - Public Private FMS'!$J$17:$J$1792))
* ISNUMBER(SEARCH("Public", 'Inventory - Public Private FMS'!$L$17:$L$1792))
* ((ISNUMBER(SEARCH("Retail", 'Inventory - Public Private FMS'!$N$17:$N$1792)))
+ (ISNUMBER(SEARCH("All Stages", 'Inventory - Public Private FMS'!$N$17:$N$1792))) &gt; 0)))</f>
        <v>0</v>
      </c>
      <c r="P78" s="247" cm="1">
        <f t="array" ref="P78">SUMPRODUCT(--(ISNUMBER(SEARCH("Malta", 'Inventory - Public Private FMS'!$J$17:$J$1792))
* ISNUMBER(SEARCH("Public", 'Inventory - Public Private FMS'!$L$17:$L$1792))
* ((ISNUMBER(SEARCH("Food services", 'Inventory - Public Private FMS'!$N$17:$N$1792)))
+ (ISNUMBER(SEARCH("All Stages", 'Inventory - Public Private FMS'!$N$17:$N$1792))) &gt; 0)))</f>
        <v>0</v>
      </c>
      <c r="Q78" s="224"/>
      <c r="R78" s="246" cm="1">
        <f t="array" ref="R78">SUMPRODUCT(--(ISNUMBER(SEARCH("Malta",'Inventory - Public Private FMS'!$J$17:$J$1792))
*(ISNUMBER(SEARCH("Public",'Inventory - Public Private FMS'!$L$17:$L$1792)))&gt;0))</f>
        <v>5</v>
      </c>
    </row>
    <row r="79" spans="1:18">
      <c r="B79" s="248"/>
      <c r="C79" s="126" t="s">
        <v>74</v>
      </c>
      <c r="D79" s="246" cm="1">
        <f t="array" ref="D79">SUMPRODUCT(--(ISNUMBER(SEARCH("Malta",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79" s="247" cm="1">
        <f t="array" ref="E79">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79" s="247" cm="1">
        <f t="array" ref="F79">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79" s="247" cm="1">
        <f t="array" ref="G79">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79" s="247" cm="1">
        <f t="array" ref="H79">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79" s="247" cm="1">
        <f t="array" ref="I79">SUMPRODUCT(--(ISNUMBER(SEARCH("Malta", 'Inventory - Public Private FMS'!$J$17:$J$1792))
* ISNUMBER(SEARCH("Private", 'Inventory - Public Private FMS'!$L$17:$L$1792))
* ((ISNUMBER(SEARCH("Eggs", 'Inventory - Public Private FMS'!$F$17:$F$1792)))
+ (ISNUMBER(SEARCH("All food commodities", 'Inventory - Public Private FMS'!$F$17:$F$1792))) &gt; 0)))</f>
        <v>0</v>
      </c>
      <c r="J79" s="247" cm="1">
        <f t="array" ref="J79">SUMPRODUCT(--(ISNUMBER(SEARCH("Malta", 'Inventory - Public Private FMS'!$J$17:$J$1792))
* ISNUMBER(SEARCH("Private", 'Inventory - Public Private FMS'!$L$17:$L$1792))
* ((ISNUMBER(SEARCH("Fish", 'Inventory - Public Private FMS'!$F$17:$F$1792)))
+ (ISNUMBER(SEARCH("All food commodities", 'Inventory - Public Private FMS'!$F$17:$F$1792))) &gt; 0)))</f>
        <v>0</v>
      </c>
      <c r="K79" s="247" cm="1">
        <f t="array" ref="K79">SUMPRODUCT(--(ISNUMBER(SEARCH("Malta", 'Inventory - Public Private FMS'!$J$17:$J$1792))
* ISNUMBER(SEARCH("Private", 'Inventory - Public Private FMS'!$L$17:$L$1792))
* ((ISNUMBER(SEARCH("Cereals", 'Inventory - Public Private FMS'!$F$17:$F$1792)))
+ (ISNUMBER(SEARCH("All food commodities", 'Inventory - Public Private FMS'!$F$17:$F$1792))) &gt; 0)))</f>
        <v>0</v>
      </c>
      <c r="L79" s="224"/>
      <c r="M79" s="247" cm="1">
        <f t="array" ref="M79">SUMPRODUCT(--(ISNUMBER(SEARCH("Malta", 'Inventory - Public Private FMS'!$J$17:$J$1792))
* ISNUMBER(SEARCH("Private", 'Inventory - Public Private FMS'!$L$17:$L$1792))
* ((ISNUMBER(SEARCH("Primary Production", 'Inventory - Public Private FMS'!$N$17:$N$1792)))
+ (ISNUMBER(SEARCH("All Stages", 'Inventory - Public Private FMS'!$N$17:$N$1792))) &gt; 0)))</f>
        <v>0</v>
      </c>
      <c r="N79" s="247" cm="1">
        <f t="array" ref="N79">SUMPRODUCT(--(ISNUMBER(SEARCH("Malta", 'Inventory - Public Private FMS'!$J$17:$J$1792))
* ISNUMBER(SEARCH("Private", 'Inventory - Public Private FMS'!$L$17:$L$1792))
* ((ISNUMBER(SEARCH("Processing &amp; Manufacturing", 'Inventory - Public Private FMS'!$N$17:$N$1792)))
+ (ISNUMBER(SEARCH("All Stages", 'Inventory - Public Private FMS'!$N$17:$N$1792))) &gt; 0)))</f>
        <v>0</v>
      </c>
      <c r="O79" s="247" cm="1">
        <f t="array" ref="O79">SUMPRODUCT(--(ISNUMBER(SEARCH("Malta", 'Inventory - Public Private FMS'!$J$17:$J$1792))
* ISNUMBER(SEARCH("Private", 'Inventory - Public Private FMS'!$L$17:$L$1792))
* ((ISNUMBER(SEARCH("Retail", 'Inventory - Public Private FMS'!$N$17:$N$1792)))
+ (ISNUMBER(SEARCH("All Stages", 'Inventory - Public Private FMS'!$N$17:$N$1792))) &gt; 0)))</f>
        <v>0</v>
      </c>
      <c r="P79" s="247" cm="1">
        <f t="array" ref="P79">SUMPRODUCT(--(ISNUMBER(SEARCH("Malta", 'Inventory - Public Private FMS'!$J$17:$J$1792))
* ISNUMBER(SEARCH("Private", 'Inventory - Public Private FMS'!$L$17:$L$1792))
* ((ISNUMBER(SEARCH("Food services", 'Inventory - Public Private FMS'!$N$17:$N$1792)))
+ (ISNUMBER(SEARCH("All Stages", 'Inventory - Public Private FMS'!$N$17:$N$1792))) &gt; 0)))</f>
        <v>0</v>
      </c>
      <c r="Q79" s="224"/>
      <c r="R79" s="246" cm="1">
        <f t="array" ref="R79">SUMPRODUCT(--(ISNUMBER(SEARCH("Malta",'Inventory - Public Private FMS'!$J$17:$J$1792))
*(ISNUMBER(SEARCH("Private",'Inventory - Public Private FMS'!$L$17:$L$1792)))&gt;0))</f>
        <v>0</v>
      </c>
    </row>
    <row r="80" spans="1:18">
      <c r="B80" s="248"/>
      <c r="C80" s="249" t="s">
        <v>3941</v>
      </c>
      <c r="D80" s="246">
        <f t="shared" ref="D80:K80" si="18">SUM(D78:D79)</f>
        <v>2</v>
      </c>
      <c r="E80" s="246">
        <f t="shared" si="18"/>
        <v>0</v>
      </c>
      <c r="F80" s="246">
        <f t="shared" si="18"/>
        <v>2</v>
      </c>
      <c r="G80" s="246">
        <f t="shared" si="18"/>
        <v>0</v>
      </c>
      <c r="H80" s="246">
        <f t="shared" si="18"/>
        <v>2</v>
      </c>
      <c r="I80" s="246">
        <f t="shared" si="18"/>
        <v>0</v>
      </c>
      <c r="J80" s="246">
        <f t="shared" si="18"/>
        <v>2</v>
      </c>
      <c r="K80" s="246">
        <f t="shared" si="18"/>
        <v>0</v>
      </c>
      <c r="L80" s="224"/>
      <c r="M80" s="246">
        <f>SUM(M78:M79)</f>
        <v>1</v>
      </c>
      <c r="N80" s="246">
        <f>SUM(N78:N79)</f>
        <v>4</v>
      </c>
      <c r="O80" s="246">
        <f>SUM(O78:O79)</f>
        <v>0</v>
      </c>
      <c r="P80" s="246">
        <f>SUM(P78:P79)</f>
        <v>0</v>
      </c>
      <c r="Q80" s="224"/>
      <c r="R80" s="246">
        <f>SUM(R78:R79)</f>
        <v>5</v>
      </c>
    </row>
    <row r="81" spans="2:18">
      <c r="B81" s="240" t="s">
        <v>587</v>
      </c>
      <c r="C81" s="253" t="s">
        <v>3916</v>
      </c>
      <c r="D81" s="242" cm="1">
        <f t="array" ref="D81">SUMPRODUCT(--(ISNUMBER(SEARCH("Netherlands", 'Inventory - Public Private FMS'!$J$17:$J$1792))
* ((ISNUMBER(SEARCH("Fruits", 'Inventory - Public Private FMS'!$F$17:$F$1792)))
+ (ISNUMBER(SEARCH("Vegetables", 'Inventory - Public Private FMS'!$F$17:$F$1792)))
+ (ISNUMBER(SEARCH("All food commodities", 'Inventory - Public Private FMS'!$F$17:$F$1792))) &gt; 0)))</f>
        <v>10</v>
      </c>
      <c r="E81" s="242" cm="1">
        <f t="array" ref="E81">SUMPRODUCT(--(ISNUMBER(SEARCH("Netherlands",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3</v>
      </c>
      <c r="F81" s="242" cm="1">
        <f t="array" ref="F81">SUMPRODUCT(--(ISNUMBER(SEARCH("Netherlands",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2</v>
      </c>
      <c r="G81" s="242" cm="1">
        <f t="array" ref="G81">SUMPRODUCT(--(ISNUMBER(SEARCH("Netherlands",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2</v>
      </c>
      <c r="H81" s="242" cm="1">
        <f t="array" ref="H81">SUMPRODUCT(--(ISNUMBER(SEARCH("Netherlands",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3</v>
      </c>
      <c r="I81" s="242" cm="1">
        <f t="array" ref="I81">SUMPRODUCT(--(ISNUMBER(SEARCH("Netherlands", 'Inventory - Public Private FMS'!$J$17:$J$1792))
* ((ISNUMBER(SEARCH("Eggs", 'Inventory - Public Private FMS'!$F$17:$F$1792)))
+ (ISNUMBER(SEARCH("All food commodities", 'Inventory - Public Private FMS'!$F$17:$F$1792))) &gt; 0)))</f>
        <v>1</v>
      </c>
      <c r="J81" s="242" cm="1">
        <f t="array" ref="J81">SUMPRODUCT(--(ISNUMBER(SEARCH("Netherlands", 'Inventory - Public Private FMS'!$J$17:$J$1792))
* ((ISNUMBER(SEARCH("Fish", 'Inventory - Public Private FMS'!$F$17:$F$1792)))
+ (ISNUMBER(SEARCH("All food commodities", 'Inventory - Public Private FMS'!$F$17:$F$1792))) &gt; 0)))</f>
        <v>1</v>
      </c>
      <c r="K81" s="242" cm="1">
        <f t="array" ref="K81">SUMPRODUCT(--(ISNUMBER(SEARCH("Netherlands", 'Inventory - Public Private FMS'!$J$17:$J$1792))
* ((ISNUMBER(SEARCH("Cereals", 'Inventory - Public Private FMS'!$F$17:$F$1792)))
+ (ISNUMBER(SEARCH("All food commodities", 'Inventory - Public Private FMS'!$F$17:$F$1792))) &gt; 0)))</f>
        <v>1</v>
      </c>
      <c r="L81" s="221"/>
      <c r="M81" s="242" cm="1">
        <f t="array" ref="M81">SUMPRODUCT(--(ISNUMBER(SEARCH("Netherlands", 'Inventory - Public Private FMS'!$J$17:$J$1792))
* ((ISNUMBER(SEARCH("Primary Production", 'Inventory - Public Private FMS'!$N$17:$N$1792)))
+ (ISNUMBER(SEARCH("All Stages", 'Inventory - Public Private FMS'!$N$17:$N$1792))) &gt; 0)))</f>
        <v>9</v>
      </c>
      <c r="N81" s="242" cm="1">
        <f t="array" ref="N81">SUMPRODUCT(--(ISNUMBER(SEARCH("Netherlands", 'Inventory - Public Private FMS'!$J$17:$J$1792))
* ((ISNUMBER(SEARCH("Processing &amp; Manufacturing", 'Inventory - Public Private FMS'!$N$17:$N$1792)))
+ (ISNUMBER(SEARCH("All Stages", 'Inventory - Public Private FMS'!$N$17:$N$1792))) &gt; 0)))</f>
        <v>5</v>
      </c>
      <c r="O81" s="242" cm="1">
        <f t="array" ref="O81">SUMPRODUCT(--(ISNUMBER(SEARCH("Netherlands", 'Inventory - Public Private FMS'!$J$17:$J$1792))
* ((ISNUMBER(SEARCH("Retail", 'Inventory - Public Private FMS'!$N$17:$N$1792)))
+ (ISNUMBER(SEARCH("All Stages", 'Inventory - Public Private FMS'!$N$17:$N$1792))) &gt; 0)))</f>
        <v>3</v>
      </c>
      <c r="P81" s="242" cm="1">
        <f t="array" ref="P81">SUMPRODUCT(--(ISNUMBER(SEARCH("Netherlands", 'Inventory - Public Private FMS'!$J$17:$J$1792))
* ((ISNUMBER(SEARCH("Food services", 'Inventory - Public Private FMS'!$N$17:$N$1792)))
+ (ISNUMBER(SEARCH("All Stages", 'Inventory - Public Private FMS'!$N$17:$N$1792))) &gt; 0)))</f>
        <v>1</v>
      </c>
      <c r="Q81" s="221"/>
      <c r="R81" s="243">
        <f>COUNTIF('Inventory - Public Private FMS'!$J$17:$J$1792, "*Netherlands*")</f>
        <v>12</v>
      </c>
    </row>
    <row r="82" spans="2:18">
      <c r="B82" s="244"/>
      <c r="C82" s="126" t="s">
        <v>737</v>
      </c>
      <c r="D82" s="246" cm="1">
        <f t="array" ref="D82">SUMPRODUCT(--(ISNUMBER(SEARCH("Netherlands",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6</v>
      </c>
      <c r="E82" s="247" cm="1">
        <f t="array" ref="E82">SUMPRODUCT(--(ISNUMBER(SEARCH("Netherlands",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82" s="247" cm="1">
        <f t="array" ref="F82">SUMPRODUCT(--(ISNUMBER(SEARCH("Netherlands",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G82" s="247" cm="1">
        <f t="array" ref="G82">SUMPRODUCT(--(ISNUMBER(SEARCH("Netherlands",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H82" s="247" cm="1">
        <f t="array" ref="H82">SUMPRODUCT(--(ISNUMBER(SEARCH("Netherlands",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82" s="247" cm="1">
        <f t="array" ref="I82">SUMPRODUCT(--(ISNUMBER(SEARCH("Netherlands", 'Inventory - Public Private FMS'!$J$17:$J$1792))
* ISNUMBER(SEARCH("Public", 'Inventory - Public Private FMS'!$L$17:$L$1792))
* ((ISNUMBER(SEARCH("Eggs", 'Inventory - Public Private FMS'!$F$17:$F$1792)))
+ (ISNUMBER(SEARCH("All food commodities", 'Inventory - Public Private FMS'!$F$17:$F$1792))) &gt; 0)))</f>
        <v>1</v>
      </c>
      <c r="J82" s="247" cm="1">
        <f t="array" ref="J82">SUMPRODUCT(--(ISNUMBER(SEARCH("Netherlands", 'Inventory - Public Private FMS'!$J$17:$J$1792))
* ISNUMBER(SEARCH("Public", 'Inventory - Public Private FMS'!$L$17:$L$1792))
* ((ISNUMBER(SEARCH("Fish", 'Inventory - Public Private FMS'!$F$17:$F$1792)))
+ (ISNUMBER(SEARCH("All food commodities", 'Inventory - Public Private FMS'!$F$17:$F$1792))) &gt; 0)))</f>
        <v>1</v>
      </c>
      <c r="K82" s="247" cm="1">
        <f t="array" ref="K82">SUMPRODUCT(--(ISNUMBER(SEARCH("Netherlands", 'Inventory - Public Private FMS'!$J$17:$J$1792))
* ISNUMBER(SEARCH("Public", 'Inventory - Public Private FMS'!$L$17:$L$1792))
* ((ISNUMBER(SEARCH("Cereals", 'Inventory - Public Private FMS'!$F$17:$F$1792)))
+ (ISNUMBER(SEARCH("All food commodities", 'Inventory - Public Private FMS'!$F$17:$F$1792))) &gt; 0)))</f>
        <v>1</v>
      </c>
      <c r="L82" s="224"/>
      <c r="M82" s="247" cm="1">
        <f t="array" ref="M82">SUMPRODUCT(--(ISNUMBER(SEARCH("Netherlands", 'Inventory - Public Private FMS'!$J$17:$J$1792))
* ISNUMBER(SEARCH("Public", 'Inventory - Public Private FMS'!$L$17:$L$1792))
* ((ISNUMBER(SEARCH("Primary Production", 'Inventory - Public Private FMS'!$N$17:$N$1792)))
+ (ISNUMBER(SEARCH("All Stages", 'Inventory - Public Private FMS'!$N$17:$N$1792))) &gt; 0)))</f>
        <v>5</v>
      </c>
      <c r="N82" s="247" cm="1">
        <f t="array" ref="N82">SUMPRODUCT(--(ISNUMBER(SEARCH("Netherlands", 'Inventory - Public Private FMS'!$J$17:$J$1792))
* ISNUMBER(SEARCH("Public", 'Inventory - Public Private FMS'!$L$17:$L$1792))
* ((ISNUMBER(SEARCH("Processing &amp; Manufacturing", 'Inventory - Public Private FMS'!$N$17:$N$1792)))
+ (ISNUMBER(SEARCH("All Stages", 'Inventory - Public Private FMS'!$N$17:$N$1792))) &gt; 0)))</f>
        <v>4</v>
      </c>
      <c r="O82" s="247" cm="1">
        <f t="array" ref="O82">SUMPRODUCT(--(ISNUMBER(SEARCH("Netherlands", 'Inventory - Public Private FMS'!$J$17:$J$1792))
* ISNUMBER(SEARCH("Public", 'Inventory - Public Private FMS'!$L$17:$L$1792))
* ((ISNUMBER(SEARCH("Retail", 'Inventory - Public Private FMS'!$N$17:$N$1792)))
+ (ISNUMBER(SEARCH("All Stages", 'Inventory - Public Private FMS'!$N$17:$N$1792))) &gt; 0)))</f>
        <v>1</v>
      </c>
      <c r="P82" s="247" cm="1">
        <f t="array" ref="P82">SUMPRODUCT(--(ISNUMBER(SEARCH("Netherlands", 'Inventory - Public Private FMS'!$J$17:$J$1792))
* ISNUMBER(SEARCH("Public", 'Inventory - Public Private FMS'!$L$17:$L$1792))
* ((ISNUMBER(SEARCH("Food services", 'Inventory - Public Private FMS'!$N$17:$N$1792)))
+ (ISNUMBER(SEARCH("All Stages", 'Inventory - Public Private FMS'!$N$17:$N$1792))) &gt; 0)))</f>
        <v>0</v>
      </c>
      <c r="Q82" s="224"/>
      <c r="R82" s="246" cm="1">
        <f t="array" ref="R82">SUMPRODUCT(--(ISNUMBER(SEARCH("Netherlands",'Inventory - Public Private FMS'!$J$17:$J$1792))
*(ISNUMBER(SEARCH("Public",'Inventory - Public Private FMS'!$L$17:$L$1792)))&gt;0))</f>
        <v>6</v>
      </c>
    </row>
    <row r="83" spans="2:18">
      <c r="B83" s="248"/>
      <c r="C83" s="126" t="s">
        <v>74</v>
      </c>
      <c r="D83" s="246" cm="1">
        <f t="array" ref="D83">SUMPRODUCT(--(ISNUMBER(SEARCH("Netherlands",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4</v>
      </c>
      <c r="E83" s="247" cm="1">
        <f t="array" ref="E83">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2</v>
      </c>
      <c r="F83" s="247" cm="1">
        <f t="array" ref="F83">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G83" s="247" cm="1">
        <f t="array" ref="G83">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H83" s="247" cm="1">
        <f t="array" ref="H83">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v>
      </c>
      <c r="I83" s="247" cm="1">
        <f t="array" ref="I83">SUMPRODUCT(--(ISNUMBER(SEARCH("Netherlands", 'Inventory - Public Private FMS'!$J$17:$J$1792))
* ISNUMBER(SEARCH("Private", 'Inventory - Public Private FMS'!$L$17:$L$1792))
* ((ISNUMBER(SEARCH("Eggs", 'Inventory - Public Private FMS'!$F$17:$F$1792)))
+ (ISNUMBER(SEARCH("All food commodities", 'Inventory - Public Private FMS'!$F$17:$F$1792))) &gt; 0)))</f>
        <v>0</v>
      </c>
      <c r="J83" s="247" cm="1">
        <f t="array" ref="J83">SUMPRODUCT(--(ISNUMBER(SEARCH("Netherlands", 'Inventory - Public Private FMS'!$J$17:$J$1792))
* ISNUMBER(SEARCH("Private", 'Inventory - Public Private FMS'!$L$17:$L$1792))
* ((ISNUMBER(SEARCH("Fish", 'Inventory - Public Private FMS'!$F$17:$F$1792)))
+ (ISNUMBER(SEARCH("All food commodities", 'Inventory - Public Private FMS'!$F$17:$F$1792))) &gt; 0)))</f>
        <v>0</v>
      </c>
      <c r="K83" s="247" cm="1">
        <f t="array" ref="K83">SUMPRODUCT(--(ISNUMBER(SEARCH("Netherlands", 'Inventory - Public Private FMS'!$J$17:$J$1792))
* ISNUMBER(SEARCH("Private", 'Inventory - Public Private FMS'!$L$17:$L$1792))
* ((ISNUMBER(SEARCH("Cereals", 'Inventory - Public Private FMS'!$F$17:$F$1792)))
+ (ISNUMBER(SEARCH("All food commodities", 'Inventory - Public Private FMS'!$F$17:$F$1792))) &gt; 0)))</f>
        <v>0</v>
      </c>
      <c r="L83" s="224"/>
      <c r="M83" s="247" cm="1">
        <f t="array" ref="M83">SUMPRODUCT(--(ISNUMBER(SEARCH("Netherlands", 'Inventory - Public Private FMS'!$J$17:$J$1792))
* ISNUMBER(SEARCH("Private", 'Inventory - Public Private FMS'!$L$17:$L$1792))
* ((ISNUMBER(SEARCH("Primary Production", 'Inventory - Public Private FMS'!$N$17:$N$1792)))
+ (ISNUMBER(SEARCH("All Stages", 'Inventory - Public Private FMS'!$N$17:$N$1792))) &gt; 0)))</f>
        <v>4</v>
      </c>
      <c r="N83" s="247" cm="1">
        <f t="array" ref="N83">SUMPRODUCT(--(ISNUMBER(SEARCH("Netherlands", 'Inventory - Public Private FMS'!$J$17:$J$1792))
* ISNUMBER(SEARCH("Private", 'Inventory - Public Private FMS'!$L$17:$L$1792))
* ((ISNUMBER(SEARCH("Processing &amp; Manufacturing", 'Inventory - Public Private FMS'!$N$17:$N$1792)))
+ (ISNUMBER(SEARCH("All Stages", 'Inventory - Public Private FMS'!$N$17:$N$1792))) &gt; 0)))</f>
        <v>1</v>
      </c>
      <c r="O83" s="247" cm="1">
        <f t="array" ref="O83">SUMPRODUCT(--(ISNUMBER(SEARCH("Netherlands", 'Inventory - Public Private FMS'!$J$17:$J$1792))
* ISNUMBER(SEARCH("Private", 'Inventory - Public Private FMS'!$L$17:$L$1792))
* ((ISNUMBER(SEARCH("Retail", 'Inventory - Public Private FMS'!$N$17:$N$1792)))
+ (ISNUMBER(SEARCH("All Stages", 'Inventory - Public Private FMS'!$N$17:$N$1792))) &gt; 0)))</f>
        <v>2</v>
      </c>
      <c r="P83" s="247" cm="1">
        <f t="array" ref="P83">SUMPRODUCT(--(ISNUMBER(SEARCH("Netherlands", 'Inventory - Public Private FMS'!$J$17:$J$1792))
* ISNUMBER(SEARCH("Private", 'Inventory - Public Private FMS'!$L$17:$L$1792))
* ((ISNUMBER(SEARCH("Food services", 'Inventory - Public Private FMS'!$N$17:$N$1792)))
+ (ISNUMBER(SEARCH("All Stages", 'Inventory - Public Private FMS'!$N$17:$N$1792))) &gt; 0)))</f>
        <v>1</v>
      </c>
      <c r="Q83" s="224"/>
      <c r="R83" s="246" cm="1">
        <f t="array" ref="R83">SUMPRODUCT(--(ISNUMBER(SEARCH("Netherlands",'Inventory - Public Private FMS'!$J$17:$J$1792))
*(ISNUMBER(SEARCH("Private",'Inventory - Public Private FMS'!$L$17:$L$1792)))&gt;0))</f>
        <v>6</v>
      </c>
    </row>
    <row r="84" spans="2:18">
      <c r="B84" s="248"/>
      <c r="C84" s="249" t="s">
        <v>3941</v>
      </c>
      <c r="D84" s="246">
        <f t="shared" ref="D84:K84" si="19">SUM(D82:D83)</f>
        <v>10</v>
      </c>
      <c r="E84" s="246">
        <f t="shared" si="19"/>
        <v>3</v>
      </c>
      <c r="F84" s="246">
        <f t="shared" si="19"/>
        <v>2</v>
      </c>
      <c r="G84" s="246">
        <f t="shared" si="19"/>
        <v>2</v>
      </c>
      <c r="H84" s="246">
        <f t="shared" si="19"/>
        <v>3</v>
      </c>
      <c r="I84" s="246">
        <f t="shared" si="19"/>
        <v>1</v>
      </c>
      <c r="J84" s="246">
        <f t="shared" si="19"/>
        <v>1</v>
      </c>
      <c r="K84" s="246">
        <f t="shared" si="19"/>
        <v>1</v>
      </c>
      <c r="L84" s="224"/>
      <c r="M84" s="246">
        <f>SUM(M82:M83)</f>
        <v>9</v>
      </c>
      <c r="N84" s="246">
        <f>SUM(N82:N83)</f>
        <v>5</v>
      </c>
      <c r="O84" s="246">
        <f>SUM(O82:O83)</f>
        <v>3</v>
      </c>
      <c r="P84" s="246">
        <f>SUM(P82:P83)</f>
        <v>1</v>
      </c>
      <c r="Q84" s="224"/>
      <c r="R84" s="246">
        <f>SUM(R82:R83)</f>
        <v>12</v>
      </c>
    </row>
    <row r="85" spans="2:18">
      <c r="B85" s="240" t="s">
        <v>694</v>
      </c>
      <c r="C85" s="253" t="s">
        <v>3916</v>
      </c>
      <c r="D85" s="242" cm="1">
        <f t="array" ref="D85">SUMPRODUCT(--(ISNUMBER(SEARCH("Poland", 'Inventory - Public Private FMS'!$J$17:$J$1792))
* ((ISNUMBER(SEARCH("Fruits", 'Inventory - Public Private FMS'!$F$17:$F$1792)))
+ (ISNUMBER(SEARCH("Vegetables", 'Inventory - Public Private FMS'!$F$17:$F$1792)))
+ (ISNUMBER(SEARCH("All food commodities", 'Inventory - Public Private FMS'!$F$17:$F$1792))) &gt; 0)))</f>
        <v>10</v>
      </c>
      <c r="E85" s="242" cm="1">
        <f t="array" ref="E85">SUMPRODUCT(--(ISNUMBER(SEARCH("Poland",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4</v>
      </c>
      <c r="F85" s="242" cm="1">
        <f t="array" ref="F85">SUMPRODUCT(--(ISNUMBER(SEARCH("Poland",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4</v>
      </c>
      <c r="G85" s="242" cm="1">
        <f t="array" ref="G85">SUMPRODUCT(--(ISNUMBER(SEARCH("Poland",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7</v>
      </c>
      <c r="H85" s="242" cm="1">
        <f t="array" ref="H85">SUMPRODUCT(--(ISNUMBER(SEARCH("Poland",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9</v>
      </c>
      <c r="I85" s="242" cm="1">
        <f t="array" ref="I85">SUMPRODUCT(--(ISNUMBER(SEARCH("Poland", 'Inventory - Public Private FMS'!$J$17:$J$1792))
* ((ISNUMBER(SEARCH("Eggs", 'Inventory - Public Private FMS'!$F$17:$F$1792)))
+ (ISNUMBER(SEARCH("All food commodities", 'Inventory - Public Private FMS'!$F$17:$F$1792))) &gt; 0)))</f>
        <v>3</v>
      </c>
      <c r="J85" s="242" cm="1">
        <f t="array" ref="J85">SUMPRODUCT(--(ISNUMBER(SEARCH("Poland", 'Inventory - Public Private FMS'!$J$17:$J$1792))
* ((ISNUMBER(SEARCH("Fish", 'Inventory - Public Private FMS'!$F$17:$F$1792)))
+ (ISNUMBER(SEARCH("All food commodities", 'Inventory - Public Private FMS'!$F$17:$F$1792))) &gt; 0)))</f>
        <v>2</v>
      </c>
      <c r="K85" s="242" cm="1">
        <f t="array" ref="K85">SUMPRODUCT(--(ISNUMBER(SEARCH("Poland", 'Inventory - Public Private FMS'!$J$17:$J$1792))
* ((ISNUMBER(SEARCH("Cereals", 'Inventory - Public Private FMS'!$F$17:$F$1792)))
+ (ISNUMBER(SEARCH("All food commodities", 'Inventory - Public Private FMS'!$F$17:$F$1792))) &gt; 0)))</f>
        <v>2</v>
      </c>
      <c r="L85" s="221"/>
      <c r="M85" s="242" cm="1">
        <f t="array" ref="M85">SUMPRODUCT(--(ISNUMBER(SEARCH("Poland", 'Inventory - Public Private FMS'!$J$17:$J$1792))
* ((ISNUMBER(SEARCH("Primary Production", 'Inventory - Public Private FMS'!$N$17:$N$1792)))
+ (ISNUMBER(SEARCH("All Stages", 'Inventory - Public Private FMS'!$N$17:$N$1792))) &gt; 0)))</f>
        <v>10</v>
      </c>
      <c r="N85" s="242" cm="1">
        <f t="array" ref="N85">SUMPRODUCT(--(ISNUMBER(SEARCH("Poland", 'Inventory - Public Private FMS'!$J$17:$J$1792))
* ((ISNUMBER(SEARCH("Processing &amp; Manufacturing", 'Inventory - Public Private FMS'!$N$17:$N$1792)))
+ (ISNUMBER(SEARCH("All Stages", 'Inventory - Public Private FMS'!$N$17:$N$1792))) &gt; 0)))</f>
        <v>16</v>
      </c>
      <c r="O85" s="242" cm="1">
        <f t="array" ref="O85">SUMPRODUCT(--(ISNUMBER(SEARCH("Poland", 'Inventory - Public Private FMS'!$J$17:$J$1792))
* ((ISNUMBER(SEARCH("Retail", 'Inventory - Public Private FMS'!$N$17:$N$1792)))
+ (ISNUMBER(SEARCH("All Stages", 'Inventory - Public Private FMS'!$N$17:$N$1792))) &gt; 0)))</f>
        <v>1</v>
      </c>
      <c r="P85" s="242" cm="1">
        <f t="array" ref="P85">SUMPRODUCT(--(ISNUMBER(SEARCH("Poland", 'Inventory - Public Private FMS'!$J$17:$J$1792))
* ((ISNUMBER(SEARCH("Food services", 'Inventory - Public Private FMS'!$N$17:$N$1792)))
+ (ISNUMBER(SEARCH("All Stages", 'Inventory - Public Private FMS'!$N$17:$N$1792))) &gt; 0)))</f>
        <v>0</v>
      </c>
      <c r="Q85" s="221"/>
      <c r="R85" s="243">
        <f>COUNTIF('Inventory - Public Private FMS'!$J$17:$J$1792, "*Poland*")</f>
        <v>18</v>
      </c>
    </row>
    <row r="86" spans="2:18">
      <c r="B86" s="244"/>
      <c r="C86" s="126" t="s">
        <v>737</v>
      </c>
      <c r="D86" s="246" cm="1">
        <f t="array" ref="D86">SUMPRODUCT(--(ISNUMBER(SEARCH("Poland",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10</v>
      </c>
      <c r="E86" s="247" cm="1">
        <f t="array" ref="E86">SUMPRODUCT(--(ISNUMBER(SEARCH("Poland",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3</v>
      </c>
      <c r="F86" s="247" cm="1">
        <f t="array" ref="F86">SUMPRODUCT(--(ISNUMBER(SEARCH("Poland",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4</v>
      </c>
      <c r="G86" s="247" cm="1">
        <f t="array" ref="G86">SUMPRODUCT(--(ISNUMBER(SEARCH("Poland",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3</v>
      </c>
      <c r="H86" s="247" cm="1">
        <f t="array" ref="H86">SUMPRODUCT(--(ISNUMBER(SEARCH("Poland",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I86" s="247" cm="1">
        <f t="array" ref="I86">SUMPRODUCT(--(ISNUMBER(SEARCH("Poland", 'Inventory - Public Private FMS'!$J$17:$J$1792))
* ISNUMBER(SEARCH("Public", 'Inventory - Public Private FMS'!$L$17:$L$1792))
* ((ISNUMBER(SEARCH("Eggs", 'Inventory - Public Private FMS'!$F$17:$F$1792)))
+ (ISNUMBER(SEARCH("All food commodities", 'Inventory - Public Private FMS'!$F$17:$F$1792))) &gt; 0)))</f>
        <v>3</v>
      </c>
      <c r="J86" s="247" cm="1">
        <f t="array" ref="J86">SUMPRODUCT(--(ISNUMBER(SEARCH("Poland", 'Inventory - Public Private FMS'!$J$17:$J$1792))
* ISNUMBER(SEARCH("Public", 'Inventory - Public Private FMS'!$L$17:$L$1792))
* ((ISNUMBER(SEARCH("Fish", 'Inventory - Public Private FMS'!$F$17:$F$1792)))
+ (ISNUMBER(SEARCH("All food commodities", 'Inventory - Public Private FMS'!$F$17:$F$1792))) &gt; 0)))</f>
        <v>2</v>
      </c>
      <c r="K86" s="247" cm="1">
        <f t="array" ref="K86">SUMPRODUCT(--(ISNUMBER(SEARCH("Poland", 'Inventory - Public Private FMS'!$J$17:$J$1792))
* ISNUMBER(SEARCH("Public", 'Inventory - Public Private FMS'!$L$17:$L$1792))
* ((ISNUMBER(SEARCH("Cereals", 'Inventory - Public Private FMS'!$F$17:$F$1792)))
+ (ISNUMBER(SEARCH("All food commodities", 'Inventory - Public Private FMS'!$F$17:$F$1792))) &gt; 0)))</f>
        <v>2</v>
      </c>
      <c r="L86" s="224"/>
      <c r="M86" s="247" cm="1">
        <f t="array" ref="M86">SUMPRODUCT(--(ISNUMBER(SEARCH("Poland", 'Inventory - Public Private FMS'!$J$17:$J$1792))
* ISNUMBER(SEARCH("Public", 'Inventory - Public Private FMS'!$L$17:$L$1792))
* ((ISNUMBER(SEARCH("Primary Production", 'Inventory - Public Private FMS'!$N$17:$N$1792)))
+ (ISNUMBER(SEARCH("All Stages", 'Inventory - Public Private FMS'!$N$17:$N$1792))) &gt; 0)))</f>
        <v>9</v>
      </c>
      <c r="N86" s="247" cm="1">
        <f t="array" ref="N86">SUMPRODUCT(--(ISNUMBER(SEARCH("Poland", 'Inventory - Public Private FMS'!$J$17:$J$1792))
* ISNUMBER(SEARCH("Public", 'Inventory - Public Private FMS'!$L$17:$L$1792))
* ((ISNUMBER(SEARCH("Processing &amp; Manufacturing", 'Inventory - Public Private FMS'!$N$17:$N$1792)))
+ (ISNUMBER(SEARCH("All Stages", 'Inventory - Public Private FMS'!$N$17:$N$1792))) &gt; 0)))</f>
        <v>12</v>
      </c>
      <c r="O86" s="247" cm="1">
        <f t="array" ref="O86">SUMPRODUCT(--(ISNUMBER(SEARCH("Poland", 'Inventory - Public Private FMS'!$J$17:$J$1792))
* ISNUMBER(SEARCH("Public", 'Inventory - Public Private FMS'!$L$17:$L$1792))
* ((ISNUMBER(SEARCH("Retail", 'Inventory - Public Private FMS'!$N$17:$N$1792)))
+ (ISNUMBER(SEARCH("All Stages", 'Inventory - Public Private FMS'!$N$17:$N$1792))) &gt; 0)))</f>
        <v>1</v>
      </c>
      <c r="P86" s="247" cm="1">
        <f t="array" ref="P86">SUMPRODUCT(--(ISNUMBER(SEARCH("Poland", 'Inventory - Public Private FMS'!$J$17:$J$1792))
* ISNUMBER(SEARCH("Public", 'Inventory - Public Private FMS'!$L$17:$L$1792))
* ((ISNUMBER(SEARCH("Food services", 'Inventory - Public Private FMS'!$N$17:$N$1792)))
+ (ISNUMBER(SEARCH("All Stages", 'Inventory - Public Private FMS'!$N$17:$N$1792))) &gt; 0)))</f>
        <v>0</v>
      </c>
      <c r="Q86" s="224"/>
      <c r="R86" s="246" cm="1">
        <f t="array" ref="R86">SUMPRODUCT(--(ISNUMBER(SEARCH("Poland",'Inventory - Public Private FMS'!$J$17:$J$1792))
*(ISNUMBER(SEARCH("Public",'Inventory - Public Private FMS'!$L$17:$L$1792)))&gt;0))</f>
        <v>13</v>
      </c>
    </row>
    <row r="87" spans="2:18">
      <c r="B87" s="248"/>
      <c r="C87" s="126" t="s">
        <v>74</v>
      </c>
      <c r="D87" s="246" cm="1">
        <f t="array" ref="D87">SUMPRODUCT(--(ISNUMBER(SEARCH("Poland",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87" s="247" cm="1">
        <f t="array" ref="E87">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87" s="247" cm="1">
        <f t="array" ref="F87">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87" s="247" cm="1">
        <f t="array" ref="G87">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4</v>
      </c>
      <c r="H87" s="247" cm="1">
        <f t="array" ref="H87">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5</v>
      </c>
      <c r="I87" s="247" cm="1">
        <f t="array" ref="I87">SUMPRODUCT(--(ISNUMBER(SEARCH("Poland", 'Inventory - Public Private FMS'!$J$17:$J$1792))
* ISNUMBER(SEARCH("Private", 'Inventory - Public Private FMS'!$L$17:$L$1792))
* ((ISNUMBER(SEARCH("Eggs", 'Inventory - Public Private FMS'!$F$17:$F$1792)))
+ (ISNUMBER(SEARCH("All food commodities", 'Inventory - Public Private FMS'!$F$17:$F$1792))) &gt; 0)))</f>
        <v>0</v>
      </c>
      <c r="J87" s="247" cm="1">
        <f t="array" ref="J87">SUMPRODUCT(--(ISNUMBER(SEARCH("Poland", 'Inventory - Public Private FMS'!$J$17:$J$1792))
* ISNUMBER(SEARCH("Private", 'Inventory - Public Private FMS'!$L$17:$L$1792))
* ((ISNUMBER(SEARCH("Fish", 'Inventory - Public Private FMS'!$F$17:$F$1792)))
+ (ISNUMBER(SEARCH("All food commodities", 'Inventory - Public Private FMS'!$F$17:$F$1792))) &gt; 0)))</f>
        <v>0</v>
      </c>
      <c r="K87" s="247" cm="1">
        <f t="array" ref="K87">SUMPRODUCT(--(ISNUMBER(SEARCH("Poland", 'Inventory - Public Private FMS'!$J$17:$J$1792))
* ISNUMBER(SEARCH("Private", 'Inventory - Public Private FMS'!$L$17:$L$1792))
* ((ISNUMBER(SEARCH("Cereals", 'Inventory - Public Private FMS'!$F$17:$F$1792)))
+ (ISNUMBER(SEARCH("All food commodities", 'Inventory - Public Private FMS'!$F$17:$F$1792))) &gt; 0)))</f>
        <v>0</v>
      </c>
      <c r="L87" s="224"/>
      <c r="M87" s="247" cm="1">
        <f t="array" ref="M87">SUMPRODUCT(--(ISNUMBER(SEARCH("Poland", 'Inventory - Public Private FMS'!$J$17:$J$1792))
* ISNUMBER(SEARCH("Private", 'Inventory - Public Private FMS'!$L$17:$L$1792))
* ((ISNUMBER(SEARCH("Primary Production", 'Inventory - Public Private FMS'!$N$17:$N$1792)))
+ (ISNUMBER(SEARCH("All Stages", 'Inventory - Public Private FMS'!$N$17:$N$1792))) &gt; 0)))</f>
        <v>1</v>
      </c>
      <c r="N87" s="247" cm="1">
        <f t="array" ref="N87">SUMPRODUCT(--(ISNUMBER(SEARCH("Poland", 'Inventory - Public Private FMS'!$J$17:$J$1792))
* ISNUMBER(SEARCH("Private", 'Inventory - Public Private FMS'!$L$17:$L$1792))
* ((ISNUMBER(SEARCH("Processing &amp; Manufacturing", 'Inventory - Public Private FMS'!$N$17:$N$1792)))
+ (ISNUMBER(SEARCH("All Stages", 'Inventory - Public Private FMS'!$N$17:$N$1792))) &gt; 0)))</f>
        <v>4</v>
      </c>
      <c r="O87" s="247" cm="1">
        <f t="array" ref="O87">SUMPRODUCT(--(ISNUMBER(SEARCH("Poland", 'Inventory - Public Private FMS'!$J$17:$J$1792))
* ISNUMBER(SEARCH("Private", 'Inventory - Public Private FMS'!$L$17:$L$1792))
* ((ISNUMBER(SEARCH("Retail", 'Inventory - Public Private FMS'!$N$17:$N$1792)))
+ (ISNUMBER(SEARCH("All Stages", 'Inventory - Public Private FMS'!$N$17:$N$1792))) &gt; 0)))</f>
        <v>0</v>
      </c>
      <c r="P87" s="247" cm="1">
        <f t="array" ref="P87">SUMPRODUCT(--(ISNUMBER(SEARCH("Poland", 'Inventory - Public Private FMS'!$J$17:$J$1792))
* ISNUMBER(SEARCH("Private", 'Inventory - Public Private FMS'!$L$17:$L$1792))
* ((ISNUMBER(SEARCH("Food services", 'Inventory - Public Private FMS'!$N$17:$N$1792)))
+ (ISNUMBER(SEARCH("All Stages", 'Inventory - Public Private FMS'!$N$17:$N$1792))) &gt; 0)))</f>
        <v>0</v>
      </c>
      <c r="Q87" s="224"/>
      <c r="R87" s="246" cm="1">
        <f t="array" ref="R87">SUMPRODUCT(--(ISNUMBER(SEARCH("Poland",'Inventory - Public Private FMS'!$J$17:$J$1792))
*(ISNUMBER(SEARCH("Private",'Inventory - Public Private FMS'!$L$17:$L$1792)))&gt;0))</f>
        <v>5</v>
      </c>
    </row>
    <row r="88" spans="2:18">
      <c r="B88" s="248"/>
      <c r="C88" s="249" t="s">
        <v>3941</v>
      </c>
      <c r="D88" s="246">
        <f t="shared" ref="D88:K88" si="20">SUM(D86:D87)</f>
        <v>10</v>
      </c>
      <c r="E88" s="246">
        <f t="shared" si="20"/>
        <v>4</v>
      </c>
      <c r="F88" s="246">
        <f t="shared" si="20"/>
        <v>4</v>
      </c>
      <c r="G88" s="246">
        <f t="shared" si="20"/>
        <v>7</v>
      </c>
      <c r="H88" s="246">
        <f t="shared" si="20"/>
        <v>9</v>
      </c>
      <c r="I88" s="246">
        <f t="shared" si="20"/>
        <v>3</v>
      </c>
      <c r="J88" s="246">
        <f t="shared" si="20"/>
        <v>2</v>
      </c>
      <c r="K88" s="246">
        <f t="shared" si="20"/>
        <v>2</v>
      </c>
      <c r="L88" s="224"/>
      <c r="M88" s="246">
        <f>SUM(M86:M87)</f>
        <v>10</v>
      </c>
      <c r="N88" s="246">
        <f>SUM(N86:N87)</f>
        <v>16</v>
      </c>
      <c r="O88" s="246">
        <f>SUM(O86:O87)</f>
        <v>1</v>
      </c>
      <c r="P88" s="246">
        <f>SUM(P86:P87)</f>
        <v>0</v>
      </c>
      <c r="Q88" s="224"/>
      <c r="R88" s="246">
        <f>SUM(R86:R87)</f>
        <v>18</v>
      </c>
    </row>
    <row r="89" spans="2:18">
      <c r="B89" s="240" t="s">
        <v>605</v>
      </c>
      <c r="C89" s="253" t="s">
        <v>3916</v>
      </c>
      <c r="D89" s="242" cm="1">
        <f t="array" ref="D89">SUMPRODUCT(--(ISNUMBER(SEARCH("Portugal", 'Inventory - Public Private FMS'!$J$17:$J$1792))
* ((ISNUMBER(SEARCH("Fruits", 'Inventory - Public Private FMS'!$F$17:$F$1792)))
+ (ISNUMBER(SEARCH("Vegetables", 'Inventory - Public Private FMS'!$F$17:$F$1792)))
+ (ISNUMBER(SEARCH("All food commodities", 'Inventory - Public Private FMS'!$F$17:$F$1792))) &gt; 0)))</f>
        <v>32</v>
      </c>
      <c r="E89" s="242" cm="1">
        <f t="array" ref="E89">SUMPRODUCT(--(ISNUMBER(SEARCH("Portugal",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1</v>
      </c>
      <c r="F89" s="242" cm="1">
        <f t="array" ref="F89">SUMPRODUCT(--(ISNUMBER(SEARCH("Portugal",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14</v>
      </c>
      <c r="G89" s="242" cm="1">
        <f t="array" ref="G89">SUMPRODUCT(--(ISNUMBER(SEARCH("Portugal",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8</v>
      </c>
      <c r="H89" s="242" cm="1">
        <f t="array" ref="H89">SUMPRODUCT(--(ISNUMBER(SEARCH("Portugal",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23</v>
      </c>
      <c r="I89" s="242" cm="1">
        <f t="array" ref="I89">SUMPRODUCT(--(ISNUMBER(SEARCH("Portugal", 'Inventory - Public Private FMS'!$J$17:$J$1792))
* ((ISNUMBER(SEARCH("Eggs", 'Inventory - Public Private FMS'!$F$17:$F$1792)))
+ (ISNUMBER(SEARCH("All food commodities", 'Inventory - Public Private FMS'!$F$17:$F$1792))) &gt; 0)))</f>
        <v>0</v>
      </c>
      <c r="J89" s="242" cm="1">
        <f t="array" ref="J89">SUMPRODUCT(--(ISNUMBER(SEARCH("Portugal", 'Inventory - Public Private FMS'!$J$17:$J$1792))
* ((ISNUMBER(SEARCH("Fish", 'Inventory - Public Private FMS'!$F$17:$F$1792)))
+ (ISNUMBER(SEARCH("All food commodities", 'Inventory - Public Private FMS'!$F$17:$F$1792))) &gt; 0)))</f>
        <v>4</v>
      </c>
      <c r="K89" s="242" cm="1">
        <f t="array" ref="K89">SUMPRODUCT(--(ISNUMBER(SEARCH("Portugal", 'Inventory - Public Private FMS'!$J$17:$J$1792))
* ((ISNUMBER(SEARCH("Cereals", 'Inventory - Public Private FMS'!$F$17:$F$1792)))
+ (ISNUMBER(SEARCH("All food commodities", 'Inventory - Public Private FMS'!$F$17:$F$1792))) &gt; 0)))</f>
        <v>3</v>
      </c>
      <c r="L89" s="221"/>
      <c r="M89" s="242" cm="1">
        <f t="array" ref="M89">SUMPRODUCT(--(ISNUMBER(SEARCH("Portugal", 'Inventory - Public Private FMS'!$J$17:$J$1792))
* ((ISNUMBER(SEARCH("Primary Production", 'Inventory - Public Private FMS'!$N$17:$N$1792)))
+ (ISNUMBER(SEARCH("All Stages", 'Inventory - Public Private FMS'!$N$17:$N$1792))) &gt; 0)))</f>
        <v>54</v>
      </c>
      <c r="N89" s="242" cm="1">
        <f t="array" ref="N89">SUMPRODUCT(--(ISNUMBER(SEARCH("Portugal", 'Inventory - Public Private FMS'!$J$17:$J$1792))
* ((ISNUMBER(SEARCH("Processing &amp; Manufacturing", 'Inventory - Public Private FMS'!$N$17:$N$1792)))
+ (ISNUMBER(SEARCH("All Stages", 'Inventory - Public Private FMS'!$N$17:$N$1792))) &gt; 0)))</f>
        <v>50</v>
      </c>
      <c r="O89" s="242" cm="1">
        <f t="array" ref="O89">SUMPRODUCT(--(ISNUMBER(SEARCH("Portugal", 'Inventory - Public Private FMS'!$J$17:$J$1792))
* ((ISNUMBER(SEARCH("Retail", 'Inventory - Public Private FMS'!$N$17:$N$1792)))
+ (ISNUMBER(SEARCH("All Stages", 'Inventory - Public Private FMS'!$N$17:$N$1792))) &gt; 0)))</f>
        <v>8</v>
      </c>
      <c r="P89" s="242" cm="1">
        <f t="array" ref="P89">SUMPRODUCT(--(ISNUMBER(SEARCH("Portugal", 'Inventory - Public Private FMS'!$J$17:$J$1792))
* ((ISNUMBER(SEARCH("Food services", 'Inventory - Public Private FMS'!$N$17:$N$1792)))
+ (ISNUMBER(SEARCH("All Stages", 'Inventory - Public Private FMS'!$N$17:$N$1792))) &gt; 0)))</f>
        <v>0</v>
      </c>
      <c r="Q89" s="221"/>
      <c r="R89" s="243">
        <f>COUNTIF('Inventory - Public Private FMS'!$J$17:$J$1792, "*Portugal*")</f>
        <v>62</v>
      </c>
    </row>
    <row r="90" spans="2:18">
      <c r="B90" s="244"/>
      <c r="C90" s="126" t="s">
        <v>737</v>
      </c>
      <c r="D90" s="246" cm="1">
        <f t="array" ref="D90">SUMPRODUCT(--(ISNUMBER(SEARCH("Portugal",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25</v>
      </c>
      <c r="E90" s="247" cm="1">
        <f t="array" ref="E90">SUMPRODUCT(--(ISNUMBER(SEARCH("Portugal",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F90" s="247" cm="1">
        <f t="array" ref="F90">SUMPRODUCT(--(ISNUMBER(SEARCH("Portugal",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14</v>
      </c>
      <c r="G90" s="247" cm="1">
        <f t="array" ref="G90">SUMPRODUCT(--(ISNUMBER(SEARCH("Portugal",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8</v>
      </c>
      <c r="H90" s="247" cm="1">
        <f t="array" ref="H90">SUMPRODUCT(--(ISNUMBER(SEARCH("Portugal",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23</v>
      </c>
      <c r="I90" s="247" cm="1">
        <f t="array" ref="I90">SUMPRODUCT(--(ISNUMBER(SEARCH("Portugal", 'Inventory - Public Private FMS'!$J$17:$J$1792))
* ISNUMBER(SEARCH("Public", 'Inventory - Public Private FMS'!$L$17:$L$1792))
* ((ISNUMBER(SEARCH("Eggs", 'Inventory - Public Private FMS'!$F$17:$F$1792)))
+ (ISNUMBER(SEARCH("All food commodities", 'Inventory - Public Private FMS'!$F$17:$F$1792))) &gt; 0)))</f>
        <v>0</v>
      </c>
      <c r="J90" s="247" cm="1">
        <f t="array" ref="J90">SUMPRODUCT(--(ISNUMBER(SEARCH("Portugal", 'Inventory - Public Private FMS'!$J$17:$J$1792))
* ISNUMBER(SEARCH("Public", 'Inventory - Public Private FMS'!$L$17:$L$1792))
* ((ISNUMBER(SEARCH("Fish", 'Inventory - Public Private FMS'!$F$17:$F$1792)))
+ (ISNUMBER(SEARCH("All food commodities", 'Inventory - Public Private FMS'!$F$17:$F$1792))) &gt; 0)))</f>
        <v>4</v>
      </c>
      <c r="K90" s="247" cm="1">
        <f t="array" ref="K90">SUMPRODUCT(--(ISNUMBER(SEARCH("Portugal", 'Inventory - Public Private FMS'!$J$17:$J$1792))
* ISNUMBER(SEARCH("Public", 'Inventory - Public Private FMS'!$L$17:$L$1792))
* ((ISNUMBER(SEARCH("Cereals", 'Inventory - Public Private FMS'!$F$17:$F$1792)))
+ (ISNUMBER(SEARCH("All food commodities", 'Inventory - Public Private FMS'!$F$17:$F$1792))) &gt; 0)))</f>
        <v>2</v>
      </c>
      <c r="L90" s="224"/>
      <c r="M90" s="247" cm="1">
        <f t="array" ref="M90">SUMPRODUCT(--(ISNUMBER(SEARCH("Portugal", 'Inventory - Public Private FMS'!$J$17:$J$1792))
* ISNUMBER(SEARCH("Public", 'Inventory - Public Private FMS'!$L$17:$L$1792))
* ((ISNUMBER(SEARCH("Primary Production", 'Inventory - Public Private FMS'!$N$17:$N$1792)))
+ (ISNUMBER(SEARCH("All Stages", 'Inventory - Public Private FMS'!$N$17:$N$1792))) &gt; 0)))</f>
        <v>53</v>
      </c>
      <c r="N90" s="247" cm="1">
        <f t="array" ref="N90">SUMPRODUCT(--(ISNUMBER(SEARCH("Portugal", 'Inventory - Public Private FMS'!$J$17:$J$1792))
* ISNUMBER(SEARCH("Public", 'Inventory - Public Private FMS'!$L$17:$L$1792))
* ((ISNUMBER(SEARCH("Processing &amp; Manufacturing", 'Inventory - Public Private FMS'!$N$17:$N$1792)))
+ (ISNUMBER(SEARCH("All Stages", 'Inventory - Public Private FMS'!$N$17:$N$1792))) &gt; 0)))</f>
        <v>50</v>
      </c>
      <c r="O90" s="247" cm="1">
        <f t="array" ref="O90">SUMPRODUCT(--(ISNUMBER(SEARCH("Portugal", 'Inventory - Public Private FMS'!$J$17:$J$1792))
* ISNUMBER(SEARCH("Public", 'Inventory - Public Private FMS'!$L$17:$L$1792))
* ((ISNUMBER(SEARCH("Retail", 'Inventory - Public Private FMS'!$N$17:$N$1792)))
+ (ISNUMBER(SEARCH("All Stages", 'Inventory - Public Private FMS'!$N$17:$N$1792))) &gt; 0)))</f>
        <v>1</v>
      </c>
      <c r="P90" s="247" cm="1">
        <f t="array" ref="P90">SUMPRODUCT(--(ISNUMBER(SEARCH("Portugal", 'Inventory - Public Private FMS'!$J$17:$J$1792))
* ISNUMBER(SEARCH("Public", 'Inventory - Public Private FMS'!$L$17:$L$1792))
* ((ISNUMBER(SEARCH("Food services", 'Inventory - Public Private FMS'!$N$17:$N$1792)))
+ (ISNUMBER(SEARCH("All Stages", 'Inventory - Public Private FMS'!$N$17:$N$1792))) &gt; 0)))</f>
        <v>0</v>
      </c>
      <c r="Q90" s="224"/>
      <c r="R90" s="246" cm="1">
        <f t="array" ref="R90">SUMPRODUCT(--(ISNUMBER(SEARCH("Portugal",'Inventory - Public Private FMS'!$J$17:$J$1792))
*(ISNUMBER(SEARCH("Public",'Inventory - Public Private FMS'!$L$17:$L$1792)))&gt;0))</f>
        <v>54</v>
      </c>
    </row>
    <row r="91" spans="2:18">
      <c r="B91" s="248"/>
      <c r="C91" s="126" t="s">
        <v>74</v>
      </c>
      <c r="D91" s="246" cm="1">
        <f t="array" ref="D91">SUMPRODUCT(--(ISNUMBER(SEARCH("Portugal",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7</v>
      </c>
      <c r="E91" s="247" cm="1">
        <f t="array" ref="E9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91" s="247" cm="1">
        <f t="array" ref="F9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91" s="247" cm="1">
        <f t="array" ref="G9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91" s="247" cm="1">
        <f t="array" ref="H9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91" s="247" cm="1">
        <f t="array" ref="I91">SUMPRODUCT(--(ISNUMBER(SEARCH("Portugal", 'Inventory - Public Private FMS'!$J$17:$J$1792))
* ISNUMBER(SEARCH("Private", 'Inventory - Public Private FMS'!$L$17:$L$1792))
* ((ISNUMBER(SEARCH("Eggs", 'Inventory - Public Private FMS'!$F$17:$F$1792)))
+ (ISNUMBER(SEARCH("All food commodities", 'Inventory - Public Private FMS'!$F$17:$F$1792))) &gt; 0)))</f>
        <v>0</v>
      </c>
      <c r="J91" s="247" cm="1">
        <f t="array" ref="J91">SUMPRODUCT(--(ISNUMBER(SEARCH("Portugal", 'Inventory - Public Private FMS'!$J$17:$J$1792))
* ISNUMBER(SEARCH("Private", 'Inventory - Public Private FMS'!$L$17:$L$1792))
* ((ISNUMBER(SEARCH("Fish", 'Inventory - Public Private FMS'!$F$17:$F$1792)))
+ (ISNUMBER(SEARCH("All food commodities", 'Inventory - Public Private FMS'!$F$17:$F$1792))) &gt; 0)))</f>
        <v>0</v>
      </c>
      <c r="K91" s="247" cm="1">
        <f t="array" ref="K91">SUMPRODUCT(--(ISNUMBER(SEARCH("Portugal", 'Inventory - Public Private FMS'!$J$17:$J$1792))
* ISNUMBER(SEARCH("Private", 'Inventory - Public Private FMS'!$L$17:$L$1792))
* ((ISNUMBER(SEARCH("Cereals", 'Inventory - Public Private FMS'!$F$17:$F$1792)))
+ (ISNUMBER(SEARCH("All food commodities", 'Inventory - Public Private FMS'!$F$17:$F$1792))) &gt; 0)))</f>
        <v>1</v>
      </c>
      <c r="L91" s="224"/>
      <c r="M91" s="247" cm="1">
        <f t="array" ref="M91">SUMPRODUCT(--(ISNUMBER(SEARCH("Portugal", 'Inventory - Public Private FMS'!$J$17:$J$1792))
* ISNUMBER(SEARCH("Private", 'Inventory - Public Private FMS'!$L$17:$L$1792))
* ((ISNUMBER(SEARCH("Primary Production", 'Inventory - Public Private FMS'!$N$17:$N$1792)))
+ (ISNUMBER(SEARCH("All Stages", 'Inventory - Public Private FMS'!$N$17:$N$1792))) &gt; 0)))</f>
        <v>1</v>
      </c>
      <c r="N91" s="247" cm="1">
        <f t="array" ref="N91">SUMPRODUCT(--(ISNUMBER(SEARCH("Portugal", 'Inventory - Public Private FMS'!$J$17:$J$1792))
* ISNUMBER(SEARCH("Private", 'Inventory - Public Private FMS'!$L$17:$L$1792))
* ((ISNUMBER(SEARCH("Processing &amp; Manufacturing", 'Inventory - Public Private FMS'!$N$17:$N$1792)))
+ (ISNUMBER(SEARCH("All Stages", 'Inventory - Public Private FMS'!$N$17:$N$1792))) &gt; 0)))</f>
        <v>0</v>
      </c>
      <c r="O91" s="247" cm="1">
        <f t="array" ref="O91">SUMPRODUCT(--(ISNUMBER(SEARCH("Portugal", 'Inventory - Public Private FMS'!$J$17:$J$1792))
* ISNUMBER(SEARCH("Private", 'Inventory - Public Private FMS'!$L$17:$L$1792))
* ((ISNUMBER(SEARCH("Retail", 'Inventory - Public Private FMS'!$N$17:$N$1792)))
+ (ISNUMBER(SEARCH("All Stages", 'Inventory - Public Private FMS'!$N$17:$N$1792))) &gt; 0)))</f>
        <v>7</v>
      </c>
      <c r="P91" s="247" cm="1">
        <f t="array" ref="P91">SUMPRODUCT(--(ISNUMBER(SEARCH("Portugal", 'Inventory - Public Private FMS'!$J$17:$J$1792))
* ISNUMBER(SEARCH("Private", 'Inventory - Public Private FMS'!$L$17:$L$1792))
* ((ISNUMBER(SEARCH("Food services", 'Inventory - Public Private FMS'!$N$17:$N$1792)))
+ (ISNUMBER(SEARCH("All Stages", 'Inventory - Public Private FMS'!$N$17:$N$1792))) &gt; 0)))</f>
        <v>0</v>
      </c>
      <c r="Q91" s="224"/>
      <c r="R91" s="246" cm="1">
        <f t="array" ref="R91">SUMPRODUCT(--(ISNUMBER(SEARCH("Portugal",'Inventory - Public Private FMS'!$J$17:$J$1792))
*(ISNUMBER(SEARCH("Private",'Inventory - Public Private FMS'!$L$17:$L$1792)))&gt;0))</f>
        <v>8</v>
      </c>
    </row>
    <row r="92" spans="2:18">
      <c r="B92" s="248"/>
      <c r="C92" s="249" t="s">
        <v>3941</v>
      </c>
      <c r="D92" s="246">
        <f t="shared" ref="D92:K92" si="21">SUM(D90:D91)</f>
        <v>32</v>
      </c>
      <c r="E92" s="246">
        <f t="shared" si="21"/>
        <v>1</v>
      </c>
      <c r="F92" s="246">
        <f t="shared" si="21"/>
        <v>14</v>
      </c>
      <c r="G92" s="246">
        <f t="shared" si="21"/>
        <v>8</v>
      </c>
      <c r="H92" s="246">
        <f t="shared" si="21"/>
        <v>23</v>
      </c>
      <c r="I92" s="246">
        <f t="shared" si="21"/>
        <v>0</v>
      </c>
      <c r="J92" s="246">
        <f t="shared" si="21"/>
        <v>4</v>
      </c>
      <c r="K92" s="246">
        <f t="shared" si="21"/>
        <v>3</v>
      </c>
      <c r="L92" s="224"/>
      <c r="M92" s="246">
        <f>SUM(M90:M91)</f>
        <v>54</v>
      </c>
      <c r="N92" s="246">
        <f>SUM(N90:N91)</f>
        <v>50</v>
      </c>
      <c r="O92" s="246">
        <f>SUM(O90:O91)</f>
        <v>8</v>
      </c>
      <c r="P92" s="246">
        <f>SUM(P90:P91)</f>
        <v>0</v>
      </c>
      <c r="Q92" s="224"/>
      <c r="R92" s="246">
        <f>SUM(R90:R91)</f>
        <v>62</v>
      </c>
    </row>
    <row r="93" spans="2:18">
      <c r="B93" s="240" t="s">
        <v>3014</v>
      </c>
      <c r="C93" s="253" t="s">
        <v>3916</v>
      </c>
      <c r="D93" s="242" cm="1">
        <f t="array" ref="D93">SUMPRODUCT(--(ISNUMBER(SEARCH("Romania", 'Inventory - Public Private FMS'!$J$17:$J$1792))
* ((ISNUMBER(SEARCH("Fruits", 'Inventory - Public Private FMS'!$F$17:$F$1792)))
+ (ISNUMBER(SEARCH("Vegetables", 'Inventory - Public Private FMS'!$F$17:$F$1792)))
+ (ISNUMBER(SEARCH("All food commodities", 'Inventory - Public Private FMS'!$F$17:$F$1792))) &gt; 0)))</f>
        <v>4</v>
      </c>
      <c r="E93" s="242" cm="1">
        <f t="array" ref="E93">SUMPRODUCT(--(ISNUMBER(SEARCH("Romania",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4</v>
      </c>
      <c r="F93" s="242" cm="1">
        <f t="array" ref="F93">SUMPRODUCT(--(ISNUMBER(SEARCH("Romania",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4</v>
      </c>
      <c r="G93" s="242" cm="1">
        <f t="array" ref="G93">SUMPRODUCT(--(ISNUMBER(SEARCH("Romania",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4</v>
      </c>
      <c r="H93" s="242" cm="1">
        <f t="array" ref="H93">SUMPRODUCT(--(ISNUMBER(SEARCH("Romania",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I93" s="242" cm="1">
        <f t="array" ref="I93">SUMPRODUCT(--(ISNUMBER(SEARCH("Romania", 'Inventory - Public Private FMS'!$J$17:$J$1792))
* ((ISNUMBER(SEARCH("Eggs", 'Inventory - Public Private FMS'!$F$17:$F$1792)))
+ (ISNUMBER(SEARCH("All food commodities", 'Inventory - Public Private FMS'!$F$17:$F$1792))) &gt; 0)))</f>
        <v>2</v>
      </c>
      <c r="J93" s="242" cm="1">
        <f t="array" ref="J93">SUMPRODUCT(--(ISNUMBER(SEARCH("Romania", 'Inventory - Public Private FMS'!$J$17:$J$1792))
* ((ISNUMBER(SEARCH("Fish", 'Inventory - Public Private FMS'!$F$17:$F$1792)))
+ (ISNUMBER(SEARCH("All food commodities", 'Inventory - Public Private FMS'!$F$17:$F$1792))) &gt; 0)))</f>
        <v>4</v>
      </c>
      <c r="K93" s="242" cm="1">
        <f t="array" ref="K93">SUMPRODUCT(--(ISNUMBER(SEARCH("Romania", 'Inventory - Public Private FMS'!$J$17:$J$1792))
* ((ISNUMBER(SEARCH("Cereals", 'Inventory - Public Private FMS'!$F$17:$F$1792)))
+ (ISNUMBER(SEARCH("All food commodities", 'Inventory - Public Private FMS'!$F$17:$F$1792))) &gt; 0)))</f>
        <v>3</v>
      </c>
      <c r="L93" s="221"/>
      <c r="M93" s="242" cm="1">
        <f t="array" ref="M93">SUMPRODUCT(--(ISNUMBER(SEARCH("Romania", 'Inventory - Public Private FMS'!$J$17:$J$1792))
* ((ISNUMBER(SEARCH("Primary Production", 'Inventory - Public Private FMS'!$N$17:$N$1792)))
+ (ISNUMBER(SEARCH("All Stages", 'Inventory - Public Private FMS'!$N$17:$N$1792))) &gt; 0)))</f>
        <v>6</v>
      </c>
      <c r="N93" s="242" cm="1">
        <f t="array" ref="N93">SUMPRODUCT(--(ISNUMBER(SEARCH("Romania", 'Inventory - Public Private FMS'!$J$17:$J$1792))
* ((ISNUMBER(SEARCH("Processing &amp; Manufacturing", 'Inventory - Public Private FMS'!$N$17:$N$1792)))
+ (ISNUMBER(SEARCH("All Stages", 'Inventory - Public Private FMS'!$N$17:$N$1792))) &gt; 0)))</f>
        <v>7</v>
      </c>
      <c r="O93" s="242" cm="1">
        <f t="array" ref="O93">SUMPRODUCT(--(ISNUMBER(SEARCH("Romania", 'Inventory - Public Private FMS'!$J$17:$J$1792))
* ((ISNUMBER(SEARCH("Retail", 'Inventory - Public Private FMS'!$N$17:$N$1792)))
+ (ISNUMBER(SEARCH("All Stages", 'Inventory - Public Private FMS'!$N$17:$N$1792))) &gt; 0)))</f>
        <v>2</v>
      </c>
      <c r="P93" s="242" cm="1">
        <f t="array" ref="P93">SUMPRODUCT(--(ISNUMBER(SEARCH("Romania", 'Inventory - Public Private FMS'!$J$17:$J$1792))
* ((ISNUMBER(SEARCH("Food services", 'Inventory - Public Private FMS'!$N$17:$N$1792)))
+ (ISNUMBER(SEARCH("All Stages", 'Inventory - Public Private FMS'!$N$17:$N$1792))) &gt; 0)))</f>
        <v>1</v>
      </c>
      <c r="Q93" s="221"/>
      <c r="R93" s="243">
        <f>COUNTIF('Inventory - Public Private FMS'!$J$17:$J$1792, "*Romania*")</f>
        <v>7</v>
      </c>
    </row>
    <row r="94" spans="2:18">
      <c r="B94" s="244"/>
      <c r="C94" s="126" t="s">
        <v>737</v>
      </c>
      <c r="D94" s="246" cm="1">
        <f t="array" ref="D94">SUMPRODUCT(--(ISNUMBER(SEARCH("Romania",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4</v>
      </c>
      <c r="E94" s="247" cm="1">
        <f t="array" ref="E94">SUMPRODUCT(--(ISNUMBER(SEARCH("Romania",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4</v>
      </c>
      <c r="F94" s="247" cm="1">
        <f t="array" ref="F94">SUMPRODUCT(--(ISNUMBER(SEARCH("Romania",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4</v>
      </c>
      <c r="G94" s="247" cm="1">
        <f t="array" ref="G94">SUMPRODUCT(--(ISNUMBER(SEARCH("Romania",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4</v>
      </c>
      <c r="H94" s="247" cm="1">
        <f t="array" ref="H94">SUMPRODUCT(--(ISNUMBER(SEARCH("Romania",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I94" s="247" cm="1">
        <f t="array" ref="I94">SUMPRODUCT(--(ISNUMBER(SEARCH("Romania", 'Inventory - Public Private FMS'!$J$17:$J$1792))
* ISNUMBER(SEARCH("Public", 'Inventory - Public Private FMS'!$L$17:$L$1792))
* ((ISNUMBER(SEARCH("Eggs", 'Inventory - Public Private FMS'!$F$17:$F$1792)))
+ (ISNUMBER(SEARCH("All food commodities", 'Inventory - Public Private FMS'!$F$17:$F$1792))) &gt; 0)))</f>
        <v>2</v>
      </c>
      <c r="J94" s="247" cm="1">
        <f t="array" ref="J94">SUMPRODUCT(--(ISNUMBER(SEARCH("Romania", 'Inventory - Public Private FMS'!$J$17:$J$1792))
* ISNUMBER(SEARCH("Public", 'Inventory - Public Private FMS'!$L$17:$L$1792))
* ((ISNUMBER(SEARCH("Fish", 'Inventory - Public Private FMS'!$F$17:$F$1792)))
+ (ISNUMBER(SEARCH("All food commodities", 'Inventory - Public Private FMS'!$F$17:$F$1792))) &gt; 0)))</f>
        <v>4</v>
      </c>
      <c r="K94" s="247" cm="1">
        <f t="array" ref="K94">SUMPRODUCT(--(ISNUMBER(SEARCH("Romania", 'Inventory - Public Private FMS'!$J$17:$J$1792))
* ISNUMBER(SEARCH("Public", 'Inventory - Public Private FMS'!$L$17:$L$1792))
* ((ISNUMBER(SEARCH("Cereals", 'Inventory - Public Private FMS'!$F$17:$F$1792)))
+ (ISNUMBER(SEARCH("All food commodities", 'Inventory - Public Private FMS'!$F$17:$F$1792))) &gt; 0)))</f>
        <v>3</v>
      </c>
      <c r="L94" s="224"/>
      <c r="M94" s="247" cm="1">
        <f t="array" ref="M94">SUMPRODUCT(--(ISNUMBER(SEARCH("Romania", 'Inventory - Public Private FMS'!$J$17:$J$1792))
* ISNUMBER(SEARCH("Public", 'Inventory - Public Private FMS'!$L$17:$L$1792))
* ((ISNUMBER(SEARCH("Primary Production", 'Inventory - Public Private FMS'!$N$17:$N$1792)))
+ (ISNUMBER(SEARCH("All Stages", 'Inventory - Public Private FMS'!$N$17:$N$1792))) &gt; 0)))</f>
        <v>6</v>
      </c>
      <c r="N94" s="247" cm="1">
        <f t="array" ref="N94">SUMPRODUCT(--(ISNUMBER(SEARCH("Romania", 'Inventory - Public Private FMS'!$J$17:$J$1792))
* ISNUMBER(SEARCH("Public", 'Inventory - Public Private FMS'!$L$17:$L$1792))
* ((ISNUMBER(SEARCH("Processing &amp; Manufacturing", 'Inventory - Public Private FMS'!$N$17:$N$1792)))
+ (ISNUMBER(SEARCH("All Stages", 'Inventory - Public Private FMS'!$N$17:$N$1792))) &gt; 0)))</f>
        <v>7</v>
      </c>
      <c r="O94" s="247" cm="1">
        <f t="array" ref="O94">SUMPRODUCT(--(ISNUMBER(SEARCH("Romania", 'Inventory - Public Private FMS'!$J$17:$J$1792))
* ISNUMBER(SEARCH("Public", 'Inventory - Public Private FMS'!$L$17:$L$1792))
* ((ISNUMBER(SEARCH("Retail", 'Inventory - Public Private FMS'!$N$17:$N$1792)))
+ (ISNUMBER(SEARCH("All Stages", 'Inventory - Public Private FMS'!$N$17:$N$1792))) &gt; 0)))</f>
        <v>2</v>
      </c>
      <c r="P94" s="247" cm="1">
        <f t="array" ref="P94">SUMPRODUCT(--(ISNUMBER(SEARCH("Romania", 'Inventory - Public Private FMS'!$J$17:$J$1792))
* ISNUMBER(SEARCH("Public", 'Inventory - Public Private FMS'!$L$17:$L$1792))
* ((ISNUMBER(SEARCH("Food services", 'Inventory - Public Private FMS'!$N$17:$N$1792)))
+ (ISNUMBER(SEARCH("All Stages", 'Inventory - Public Private FMS'!$N$17:$N$1792))) &gt; 0)))</f>
        <v>1</v>
      </c>
      <c r="Q94" s="224"/>
      <c r="R94" s="246" cm="1">
        <f t="array" ref="R94">SUMPRODUCT(--(ISNUMBER(SEARCH("Romania",'Inventory - Public Private FMS'!$J$17:$J$1792))
*(ISNUMBER(SEARCH("Public",'Inventory - Public Private FMS'!$L$17:$L$1792)))&gt;0))</f>
        <v>7</v>
      </c>
    </row>
    <row r="95" spans="2:18">
      <c r="B95" s="248"/>
      <c r="C95" s="126" t="s">
        <v>74</v>
      </c>
      <c r="D95" s="246" cm="1">
        <f t="array" ref="D95">SUMPRODUCT(--(ISNUMBER(SEARCH("Romania",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95" s="247" cm="1">
        <f t="array" ref="E95">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95" s="247" cm="1">
        <f t="array" ref="F95">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95" s="247" cm="1">
        <f t="array" ref="G95">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95" s="247" cm="1">
        <f t="array" ref="H95">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95" s="247" cm="1">
        <f t="array" ref="I95">SUMPRODUCT(--(ISNUMBER(SEARCH("Romania", 'Inventory - Public Private FMS'!$J$17:$J$1792))
* ISNUMBER(SEARCH("Private", 'Inventory - Public Private FMS'!$L$17:$L$1792))
* ((ISNUMBER(SEARCH("Eggs", 'Inventory - Public Private FMS'!$F$17:$F$1792)))
+ (ISNUMBER(SEARCH("All food commodities", 'Inventory - Public Private FMS'!$F$17:$F$1792))) &gt; 0)))</f>
        <v>0</v>
      </c>
      <c r="J95" s="247" cm="1">
        <f t="array" ref="J95">SUMPRODUCT(--(ISNUMBER(SEARCH("Romania", 'Inventory - Public Private FMS'!$J$17:$J$1792))
* ISNUMBER(SEARCH("Private", 'Inventory - Public Private FMS'!$L$17:$L$1792))
* ((ISNUMBER(SEARCH("Fish", 'Inventory - Public Private FMS'!$F$17:$F$1792)))
+ (ISNUMBER(SEARCH("All food commodities", 'Inventory - Public Private FMS'!$F$17:$F$1792))) &gt; 0)))</f>
        <v>0</v>
      </c>
      <c r="K95" s="247" cm="1">
        <f t="array" ref="K95">SUMPRODUCT(--(ISNUMBER(SEARCH("Romania", 'Inventory - Public Private FMS'!$J$17:$J$1792))
* ISNUMBER(SEARCH("Private", 'Inventory - Public Private FMS'!$L$17:$L$1792))
* ((ISNUMBER(SEARCH("Cereals", 'Inventory - Public Private FMS'!$F$17:$F$1792)))
+ (ISNUMBER(SEARCH("All food commodities", 'Inventory - Public Private FMS'!$F$17:$F$1792))) &gt; 0)))</f>
        <v>0</v>
      </c>
      <c r="L95" s="224"/>
      <c r="M95" s="247" cm="1">
        <f t="array" ref="M95">SUMPRODUCT(--(ISNUMBER(SEARCH("Romania", 'Inventory - Public Private FMS'!$J$17:$J$1792))
* ISNUMBER(SEARCH("Private", 'Inventory - Public Private FMS'!$L$17:$L$1792))
* ((ISNUMBER(SEARCH("Primary Production", 'Inventory - Public Private FMS'!$N$17:$N$1792)))
+ (ISNUMBER(SEARCH("All Stages", 'Inventory - Public Private FMS'!$N$17:$N$1792))) &gt; 0)))</f>
        <v>0</v>
      </c>
      <c r="N95" s="247" cm="1">
        <f t="array" ref="N95">SUMPRODUCT(--(ISNUMBER(SEARCH("Romania", 'Inventory - Public Private FMS'!$J$17:$J$1792))
* ISNUMBER(SEARCH("Private", 'Inventory - Public Private FMS'!$L$17:$L$1792))
* ((ISNUMBER(SEARCH("Processing &amp; Manufacturing", 'Inventory - Public Private FMS'!$N$17:$N$1792)))
+ (ISNUMBER(SEARCH("All Stages", 'Inventory - Public Private FMS'!$N$17:$N$1792))) &gt; 0)))</f>
        <v>0</v>
      </c>
      <c r="O95" s="247" cm="1">
        <f t="array" ref="O95">SUMPRODUCT(--(ISNUMBER(SEARCH("Romania", 'Inventory - Public Private FMS'!$J$17:$J$1792))
* ISNUMBER(SEARCH("Private", 'Inventory - Public Private FMS'!$L$17:$L$1792))
* ((ISNUMBER(SEARCH("Retail", 'Inventory - Public Private FMS'!$N$17:$N$1792)))
+ (ISNUMBER(SEARCH("All Stages", 'Inventory - Public Private FMS'!$N$17:$N$1792))) &gt; 0)))</f>
        <v>0</v>
      </c>
      <c r="P95" s="247" cm="1">
        <f t="array" ref="P95">SUMPRODUCT(--(ISNUMBER(SEARCH("Romania", 'Inventory - Public Private FMS'!$J$17:$J$1792))
* ISNUMBER(SEARCH("Private", 'Inventory - Public Private FMS'!$L$17:$L$1792))
* ((ISNUMBER(SEARCH("Food services", 'Inventory - Public Private FMS'!$N$17:$N$1792)))
+ (ISNUMBER(SEARCH("All Stages", 'Inventory - Public Private FMS'!$N$17:$N$1792))) &gt; 0)))</f>
        <v>0</v>
      </c>
      <c r="Q95" s="224"/>
      <c r="R95" s="246" cm="1">
        <f t="array" ref="R95">SUMPRODUCT(--(ISNUMBER(SEARCH("Romania",'Inventory - Public Private FMS'!$J$17:$J$1792))
*(ISNUMBER(SEARCH("Private",'Inventory - Public Private FMS'!$L$17:$L$1792)))&gt;0))</f>
        <v>0</v>
      </c>
    </row>
    <row r="96" spans="2:18">
      <c r="B96" s="248"/>
      <c r="C96" s="249" t="s">
        <v>3941</v>
      </c>
      <c r="D96" s="246">
        <f t="shared" ref="D96:K96" si="22">SUM(D94:D95)</f>
        <v>4</v>
      </c>
      <c r="E96" s="246">
        <f t="shared" si="22"/>
        <v>4</v>
      </c>
      <c r="F96" s="246">
        <f t="shared" si="22"/>
        <v>4</v>
      </c>
      <c r="G96" s="246">
        <f t="shared" si="22"/>
        <v>4</v>
      </c>
      <c r="H96" s="246">
        <f t="shared" si="22"/>
        <v>4</v>
      </c>
      <c r="I96" s="246">
        <f t="shared" si="22"/>
        <v>2</v>
      </c>
      <c r="J96" s="246">
        <f t="shared" si="22"/>
        <v>4</v>
      </c>
      <c r="K96" s="246">
        <f t="shared" si="22"/>
        <v>3</v>
      </c>
      <c r="L96" s="224"/>
      <c r="M96" s="246">
        <f>SUM(M94:M95)</f>
        <v>6</v>
      </c>
      <c r="N96" s="246">
        <f>SUM(N94:N95)</f>
        <v>7</v>
      </c>
      <c r="O96" s="246">
        <f>SUM(O94:O95)</f>
        <v>2</v>
      </c>
      <c r="P96" s="246">
        <f>SUM(P94:P95)</f>
        <v>1</v>
      </c>
      <c r="Q96" s="224"/>
      <c r="R96" s="246">
        <f>SUM(R94:R95)</f>
        <v>7</v>
      </c>
    </row>
    <row r="97" spans="2:18">
      <c r="B97" s="240" t="s">
        <v>3947</v>
      </c>
      <c r="C97" s="253" t="s">
        <v>3916</v>
      </c>
      <c r="D97" s="242" cm="1">
        <f t="array" ref="D97">SUMPRODUCT(--(ISNUMBER(SEARCH("Slovakia", 'Inventory - Public Private FMS'!$J$17:$J$1792))
* ((ISNUMBER(SEARCH("Fruits", 'Inventory - Public Private FMS'!$F$17:$F$1792)))
+ (ISNUMBER(SEARCH("Vegetables", 'Inventory - Public Private FMS'!$F$17:$F$1792)))
+ (ISNUMBER(SEARCH("All food commodities", 'Inventory - Public Private FMS'!$F$17:$F$1792))) &gt; 0)))</f>
        <v>0</v>
      </c>
      <c r="E97" s="242" cm="1">
        <f t="array" ref="E97">SUMPRODUCT(--(ISNUMBER(SEARCH("Slovakia",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97" s="242" cm="1">
        <f t="array" ref="F97">SUMPRODUCT(--(ISNUMBER(SEARCH("Slovakia",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97" s="242" cm="1">
        <f t="array" ref="G97">SUMPRODUCT(--(ISNUMBER(SEARCH("Slovakia",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0</v>
      </c>
      <c r="H97" s="242" cm="1">
        <f t="array" ref="H97">SUMPRODUCT(--(ISNUMBER(SEARCH("Slovakia",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97" s="242" cm="1">
        <f t="array" ref="I97">SUMPRODUCT(--(ISNUMBER(SEARCH("Slovakia", 'Inventory - Public Private FMS'!$J$17:$J$1792))
* ((ISNUMBER(SEARCH("Eggs", 'Inventory - Public Private FMS'!$F$17:$F$1792)))
+ (ISNUMBER(SEARCH("All food commodities", 'Inventory - Public Private FMS'!$F$17:$F$1792))) &gt; 0)))</f>
        <v>0</v>
      </c>
      <c r="J97" s="242" cm="1">
        <f t="array" ref="J97">SUMPRODUCT(--(ISNUMBER(SEARCH("Slovakia", 'Inventory - Public Private FMS'!$J$17:$J$1792))
* ((ISNUMBER(SEARCH("Fish", 'Inventory - Public Private FMS'!$F$17:$F$1792)))
+ (ISNUMBER(SEARCH("All food commodities", 'Inventory - Public Private FMS'!$F$17:$F$1792))) &gt; 0)))</f>
        <v>0</v>
      </c>
      <c r="K97" s="242" cm="1">
        <f t="array" ref="K97">SUMPRODUCT(--(ISNUMBER(SEARCH("Slovakia", 'Inventory - Public Private FMS'!$J$17:$J$1792))
* ((ISNUMBER(SEARCH("Cereals", 'Inventory - Public Private FMS'!$F$17:$F$1792)))
+ (ISNUMBER(SEARCH("All food commodities", 'Inventory - Public Private FMS'!$F$17:$F$1792))) &gt; 0)))</f>
        <v>0</v>
      </c>
      <c r="L97" s="221"/>
      <c r="M97" s="242" cm="1">
        <f t="array" ref="M97">SUMPRODUCT(--(ISNUMBER(SEARCH("Slovakia", 'Inventory - Public Private FMS'!$J$17:$J$1792))
* ((ISNUMBER(SEARCH("Primary Production", 'Inventory - Public Private FMS'!$N$17:$N$1792)))
+ (ISNUMBER(SEARCH("All Stages", 'Inventory - Public Private FMS'!$N$17:$N$1792))) &gt; 0)))</f>
        <v>0</v>
      </c>
      <c r="N97" s="242" cm="1">
        <f t="array" ref="N97">SUMPRODUCT(--(ISNUMBER(SEARCH("Slovakia", 'Inventory - Public Private FMS'!$J$17:$J$1792))
* ((ISNUMBER(SEARCH("Processing &amp; Manufacturing", 'Inventory - Public Private FMS'!$N$17:$N$1792)))
+ (ISNUMBER(SEARCH("All Stages", 'Inventory - Public Private FMS'!$N$17:$N$1792))) &gt; 0)))</f>
        <v>0</v>
      </c>
      <c r="O97" s="242" cm="1">
        <f t="array" ref="O97">SUMPRODUCT(--(ISNUMBER(SEARCH("Slovakia", 'Inventory - Public Private FMS'!$J$17:$J$1792))
* ((ISNUMBER(SEARCH("Retail", 'Inventory - Public Private FMS'!$N$17:$N$1792)))
+ (ISNUMBER(SEARCH("All Stages", 'Inventory - Public Private FMS'!$N$17:$N$1792))) &gt; 0)))</f>
        <v>0</v>
      </c>
      <c r="P97" s="242" cm="1">
        <f t="array" ref="P97">SUMPRODUCT(--(ISNUMBER(SEARCH("Slovakia", 'Inventory - Public Private FMS'!$J$17:$J$1792))
* ((ISNUMBER(SEARCH("Food services", 'Inventory - Public Private FMS'!$N$17:$N$1792)))
+ (ISNUMBER(SEARCH("All Stages", 'Inventory - Public Private FMS'!$N$17:$N$1792))) &gt; 0)))</f>
        <v>0</v>
      </c>
      <c r="Q97" s="221"/>
      <c r="R97" s="243">
        <f>COUNTIF('Inventory - Public Private FMS'!$J$17:$J$1792, "*Slovakia*")</f>
        <v>0</v>
      </c>
    </row>
    <row r="98" spans="2:18">
      <c r="B98" s="244"/>
      <c r="C98" s="126" t="s">
        <v>737</v>
      </c>
      <c r="D98" s="246" cm="1">
        <f t="array" ref="D98">SUMPRODUCT(--(ISNUMBER(SEARCH("Slovakia",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0</v>
      </c>
      <c r="E98" s="247" cm="1">
        <f t="array" ref="E98">SUMPRODUCT(--(ISNUMBER(SEARCH("Slovakia",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98" s="247" cm="1">
        <f t="array" ref="F98">SUMPRODUCT(--(ISNUMBER(SEARCH("Slovakia",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98" s="247" cm="1">
        <f t="array" ref="G98">SUMPRODUCT(--(ISNUMBER(SEARCH("Slovakia",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98" s="247" cm="1">
        <f t="array" ref="H98">SUMPRODUCT(--(ISNUMBER(SEARCH("Slovakia",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98" s="247" cm="1">
        <f t="array" ref="I98">SUMPRODUCT(--(ISNUMBER(SEARCH("Slovakia", 'Inventory - Public Private FMS'!$J$17:$J$1792))
* ISNUMBER(SEARCH("Public", 'Inventory - Public Private FMS'!$L$17:$L$1792))
* ((ISNUMBER(SEARCH("Eggs", 'Inventory - Public Private FMS'!$F$17:$F$1792)))
+ (ISNUMBER(SEARCH("All food commodities", 'Inventory - Public Private FMS'!$F$17:$F$1792))) &gt; 0)))</f>
        <v>0</v>
      </c>
      <c r="J98" s="247" cm="1">
        <f t="array" ref="J98">SUMPRODUCT(--(ISNUMBER(SEARCH("Slovakia", 'Inventory - Public Private FMS'!$J$17:$J$1792))
* ISNUMBER(SEARCH("Public", 'Inventory - Public Private FMS'!$L$17:$L$1792))
* ((ISNUMBER(SEARCH("Fish", 'Inventory - Public Private FMS'!$F$17:$F$1792)))
+ (ISNUMBER(SEARCH("All food commodities", 'Inventory - Public Private FMS'!$F$17:$F$1792))) &gt; 0)))</f>
        <v>0</v>
      </c>
      <c r="K98" s="247" cm="1">
        <f t="array" ref="K98">SUMPRODUCT(--(ISNUMBER(SEARCH("Slovakia", 'Inventory - Public Private FMS'!$J$17:$J$1792))
* ISNUMBER(SEARCH("Public", 'Inventory - Public Private FMS'!$L$17:$L$1792))
* ((ISNUMBER(SEARCH("Cereals", 'Inventory - Public Private FMS'!$F$17:$F$1792)))
+ (ISNUMBER(SEARCH("All food commodities", 'Inventory - Public Private FMS'!$F$17:$F$1792))) &gt; 0)))</f>
        <v>0</v>
      </c>
      <c r="L98" s="224"/>
      <c r="M98" s="247" cm="1">
        <f t="array" ref="M98">SUMPRODUCT(--(ISNUMBER(SEARCH("Slovakia", 'Inventory - Public Private FMS'!$J$17:$J$1792))
* ISNUMBER(SEARCH("Public", 'Inventory - Public Private FMS'!$L$17:$L$1792))
* ((ISNUMBER(SEARCH("Primary Production", 'Inventory - Public Private FMS'!$N$17:$N$1792)))
+ (ISNUMBER(SEARCH("All Stages", 'Inventory - Public Private FMS'!$N$17:$N$1792))) &gt; 0)))</f>
        <v>0</v>
      </c>
      <c r="N98" s="247" cm="1">
        <f t="array" ref="N98">SUMPRODUCT(--(ISNUMBER(SEARCH("Slovakia", 'Inventory - Public Private FMS'!$J$17:$J$1792))
* ISNUMBER(SEARCH("Public", 'Inventory - Public Private FMS'!$L$17:$L$1792))
* ((ISNUMBER(SEARCH("Processing &amp; Manufacturing", 'Inventory - Public Private FMS'!$N$17:$N$1792)))
+ (ISNUMBER(SEARCH("All Stages", 'Inventory - Public Private FMS'!$N$17:$N$1792))) &gt; 0)))</f>
        <v>0</v>
      </c>
      <c r="O98" s="247" cm="1">
        <f t="array" ref="O98">SUMPRODUCT(--(ISNUMBER(SEARCH("Slovakia", 'Inventory - Public Private FMS'!$J$17:$J$1792))
* ISNUMBER(SEARCH("Public", 'Inventory - Public Private FMS'!$L$17:$L$1792))
* ((ISNUMBER(SEARCH("Retail", 'Inventory - Public Private FMS'!$N$17:$N$1792)))
+ (ISNUMBER(SEARCH("All Stages", 'Inventory - Public Private FMS'!$N$17:$N$1792))) &gt; 0)))</f>
        <v>0</v>
      </c>
      <c r="P98" s="247" cm="1">
        <f t="array" ref="P98">SUMPRODUCT(--(ISNUMBER(SEARCH("Slovakia", 'Inventory - Public Private FMS'!$J$17:$J$1792))
* ISNUMBER(SEARCH("Public", 'Inventory - Public Private FMS'!$L$17:$L$1792))
* ((ISNUMBER(SEARCH("Food services", 'Inventory - Public Private FMS'!$N$17:$N$1792)))
+ (ISNUMBER(SEARCH("All Stages", 'Inventory - Public Private FMS'!$N$17:$N$1792))) &gt; 0)))</f>
        <v>0</v>
      </c>
      <c r="Q98" s="224"/>
      <c r="R98" s="246" cm="1">
        <f t="array" ref="R98">SUMPRODUCT(--(ISNUMBER(SEARCH("Slovakia",'Inventory - Public Private FMS'!$J$17:$J$1792))
*(ISNUMBER(SEARCH("Public",'Inventory - Public Private FMS'!$L$17:$L$1792)))&gt;0))</f>
        <v>0</v>
      </c>
    </row>
    <row r="99" spans="2:18">
      <c r="B99" s="248"/>
      <c r="C99" s="126" t="s">
        <v>74</v>
      </c>
      <c r="D99" s="246" cm="1">
        <f t="array" ref="D99">SUMPRODUCT(--(ISNUMBER(SEARCH("Slovakia",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99" s="247" cm="1">
        <f t="array" ref="E99">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99" s="247" cm="1">
        <f t="array" ref="F99">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99" s="247" cm="1">
        <f t="array" ref="G99">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99" s="247" cm="1">
        <f t="array" ref="H99">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99" s="247" cm="1">
        <f t="array" ref="I99">SUMPRODUCT(--(ISNUMBER(SEARCH("Slovakia", 'Inventory - Public Private FMS'!$J$17:$J$1792))
* ISNUMBER(SEARCH("Private", 'Inventory - Public Private FMS'!$L$17:$L$1792))
* ((ISNUMBER(SEARCH("Eggs", 'Inventory - Public Private FMS'!$F$17:$F$1792)))
+ (ISNUMBER(SEARCH("All food commodities", 'Inventory - Public Private FMS'!$F$17:$F$1792))) &gt; 0)))</f>
        <v>0</v>
      </c>
      <c r="J99" s="247" cm="1">
        <f t="array" ref="J99">SUMPRODUCT(--(ISNUMBER(SEARCH("Slovakia", 'Inventory - Public Private FMS'!$J$17:$J$1792))
* ISNUMBER(SEARCH("Private", 'Inventory - Public Private FMS'!$L$17:$L$1792))
* ((ISNUMBER(SEARCH("Fish", 'Inventory - Public Private FMS'!$F$17:$F$1792)))
+ (ISNUMBER(SEARCH("All food commodities", 'Inventory - Public Private FMS'!$F$17:$F$1792))) &gt; 0)))</f>
        <v>0</v>
      </c>
      <c r="K99" s="247" cm="1">
        <f t="array" ref="K99">SUMPRODUCT(--(ISNUMBER(SEARCH("Slovakia", 'Inventory - Public Private FMS'!$J$17:$J$1792))
* ISNUMBER(SEARCH("Private", 'Inventory - Public Private FMS'!$L$17:$L$1792))
* ((ISNUMBER(SEARCH("Cereals", 'Inventory - Public Private FMS'!$F$17:$F$1792)))
+ (ISNUMBER(SEARCH("All food commodities", 'Inventory - Public Private FMS'!$F$17:$F$1792))) &gt; 0)))</f>
        <v>0</v>
      </c>
      <c r="L99" s="224"/>
      <c r="M99" s="247" cm="1">
        <f t="array" ref="M99">SUMPRODUCT(--(ISNUMBER(SEARCH("Slovakia", 'Inventory - Public Private FMS'!$J$17:$J$1792))
* ISNUMBER(SEARCH("Private", 'Inventory - Public Private FMS'!$L$17:$L$1792))
* ((ISNUMBER(SEARCH("Primary Production", 'Inventory - Public Private FMS'!$N$17:$N$1792)))
+ (ISNUMBER(SEARCH("All Stages", 'Inventory - Public Private FMS'!$N$17:$N$1792))) &gt; 0)))</f>
        <v>0</v>
      </c>
      <c r="N99" s="247" cm="1">
        <f t="array" ref="N99">SUMPRODUCT(--(ISNUMBER(SEARCH("Slovakia", 'Inventory - Public Private FMS'!$J$17:$J$1792))
* ISNUMBER(SEARCH("Private", 'Inventory - Public Private FMS'!$L$17:$L$1792))
* ((ISNUMBER(SEARCH("Processing &amp; Manufacturing", 'Inventory - Public Private FMS'!$N$17:$N$1792)))
+ (ISNUMBER(SEARCH("All Stages", 'Inventory - Public Private FMS'!$N$17:$N$1792))) &gt; 0)))</f>
        <v>0</v>
      </c>
      <c r="O99" s="247" cm="1">
        <f t="array" ref="O99">SUMPRODUCT(--(ISNUMBER(SEARCH("Slovakia", 'Inventory - Public Private FMS'!$J$17:$J$1792))
* ISNUMBER(SEARCH("Private", 'Inventory - Public Private FMS'!$L$17:$L$1792))
* ((ISNUMBER(SEARCH("Retail", 'Inventory - Public Private FMS'!$N$17:$N$1792)))
+ (ISNUMBER(SEARCH("All Stages", 'Inventory - Public Private FMS'!$N$17:$N$1792))) &gt; 0)))</f>
        <v>0</v>
      </c>
      <c r="P99" s="247" cm="1">
        <f t="array" ref="P99">SUMPRODUCT(--(ISNUMBER(SEARCH("Slovakia", 'Inventory - Public Private FMS'!$J$17:$J$1792))
* ISNUMBER(SEARCH("Private", 'Inventory - Public Private FMS'!$L$17:$L$1792))
* ((ISNUMBER(SEARCH("Food services", 'Inventory - Public Private FMS'!$N$17:$N$1792)))
+ (ISNUMBER(SEARCH("All Stages", 'Inventory - Public Private FMS'!$N$17:$N$1792))) &gt; 0)))</f>
        <v>0</v>
      </c>
      <c r="Q99" s="224"/>
      <c r="R99" s="246" cm="1">
        <f t="array" ref="R99">SUMPRODUCT(--(ISNUMBER(SEARCH("Slovakia",'Inventory - Public Private FMS'!$J$17:$J$1792))
*(ISNUMBER(SEARCH("Private",'Inventory - Public Private FMS'!$L$17:$L$1792)))&gt;0))</f>
        <v>0</v>
      </c>
    </row>
    <row r="100" spans="2:18">
      <c r="B100" s="248"/>
      <c r="C100" s="249" t="s">
        <v>3941</v>
      </c>
      <c r="D100" s="246">
        <f t="shared" ref="D100:K100" si="23">SUM(D98:D99)</f>
        <v>0</v>
      </c>
      <c r="E100" s="246">
        <f t="shared" si="23"/>
        <v>0</v>
      </c>
      <c r="F100" s="246">
        <f t="shared" si="23"/>
        <v>0</v>
      </c>
      <c r="G100" s="246">
        <f t="shared" si="23"/>
        <v>0</v>
      </c>
      <c r="H100" s="246">
        <f t="shared" si="23"/>
        <v>0</v>
      </c>
      <c r="I100" s="246">
        <f t="shared" si="23"/>
        <v>0</v>
      </c>
      <c r="J100" s="246">
        <f t="shared" si="23"/>
        <v>0</v>
      </c>
      <c r="K100" s="246">
        <f t="shared" si="23"/>
        <v>0</v>
      </c>
      <c r="L100" s="224"/>
      <c r="M100" s="246">
        <f>SUM(M98:M99)</f>
        <v>0</v>
      </c>
      <c r="N100" s="246">
        <f>SUM(N98:N99)</f>
        <v>0</v>
      </c>
      <c r="O100" s="246">
        <f>SUM(O98:O99)</f>
        <v>0</v>
      </c>
      <c r="P100" s="246">
        <f>SUM(P98:P99)</f>
        <v>0</v>
      </c>
      <c r="Q100" s="224"/>
      <c r="R100" s="246">
        <f>SUM(R98:R99)</f>
        <v>0</v>
      </c>
    </row>
    <row r="101" spans="2:18">
      <c r="B101" s="240" t="s">
        <v>3063</v>
      </c>
      <c r="C101" s="253" t="s">
        <v>3916</v>
      </c>
      <c r="D101" s="242" cm="1">
        <f t="array" ref="D101">SUMPRODUCT(--(ISNUMBER(SEARCH("Slovenia", 'Inventory - Public Private FMS'!$J$17:$J$1792))
* ((ISNUMBER(SEARCH("Fruits", 'Inventory - Public Private FMS'!$F$17:$F$1792)))
+ (ISNUMBER(SEARCH("Vegetables", 'Inventory - Public Private FMS'!$F$17:$F$1792)))
+ (ISNUMBER(SEARCH("All food commodities", 'Inventory - Public Private FMS'!$F$17:$F$1792))) &gt; 0)))</f>
        <v>5</v>
      </c>
      <c r="E101" s="242" cm="1">
        <f t="array" ref="E101">SUMPRODUCT(--(ISNUMBER(SEARCH("Slovenia",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5</v>
      </c>
      <c r="F101" s="242" cm="1">
        <f t="array" ref="F101">SUMPRODUCT(--(ISNUMBER(SEARCH("Slovenia",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6</v>
      </c>
      <c r="G101" s="242" cm="1">
        <f t="array" ref="G101">SUMPRODUCT(--(ISNUMBER(SEARCH("Slovenia",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10</v>
      </c>
      <c r="H101" s="242" cm="1">
        <f t="array" ref="H101">SUMPRODUCT(--(ISNUMBER(SEARCH("Slovenia",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12</v>
      </c>
      <c r="I101" s="242" cm="1">
        <f t="array" ref="I101">SUMPRODUCT(--(ISNUMBER(SEARCH("Slovenia", 'Inventory - Public Private FMS'!$J$17:$J$1792))
* ((ISNUMBER(SEARCH("Eggs", 'Inventory - Public Private FMS'!$F$17:$F$1792)))
+ (ISNUMBER(SEARCH("All food commodities", 'Inventory - Public Private FMS'!$F$17:$F$1792))) &gt; 0)))</f>
        <v>4</v>
      </c>
      <c r="J101" s="242" cm="1">
        <f t="array" ref="J101">SUMPRODUCT(--(ISNUMBER(SEARCH("Slovenia", 'Inventory - Public Private FMS'!$J$17:$J$1792))
* ((ISNUMBER(SEARCH("Fish", 'Inventory - Public Private FMS'!$F$17:$F$1792)))
+ (ISNUMBER(SEARCH("All food commodities", 'Inventory - Public Private FMS'!$F$17:$F$1792))) &gt; 0)))</f>
        <v>2</v>
      </c>
      <c r="K101" s="242" cm="1">
        <f t="array" ref="K101">SUMPRODUCT(--(ISNUMBER(SEARCH("Slovenia", 'Inventory - Public Private FMS'!$J$17:$J$1792))
* ((ISNUMBER(SEARCH("Cereals", 'Inventory - Public Private FMS'!$F$17:$F$1792)))
+ (ISNUMBER(SEARCH("All food commodities", 'Inventory - Public Private FMS'!$F$17:$F$1792))) &gt; 0)))</f>
        <v>5</v>
      </c>
      <c r="L101" s="221"/>
      <c r="M101" s="242" cm="1">
        <f t="array" ref="M101">SUMPRODUCT(--(ISNUMBER(SEARCH("Slovenia", 'Inventory - Public Private FMS'!$J$17:$J$1792))
* ((ISNUMBER(SEARCH("Primary Production", 'Inventory - Public Private FMS'!$N$17:$N$1792)))
+ (ISNUMBER(SEARCH("All Stages", 'Inventory - Public Private FMS'!$N$17:$N$1792))) &gt; 0)))</f>
        <v>11</v>
      </c>
      <c r="N101" s="242" cm="1">
        <f t="array" ref="N101">SUMPRODUCT(--(ISNUMBER(SEARCH("Slovenia", 'Inventory - Public Private FMS'!$J$17:$J$1792))
* ((ISNUMBER(SEARCH("Processing &amp; Manufacturing", 'Inventory - Public Private FMS'!$N$17:$N$1792)))
+ (ISNUMBER(SEARCH("All Stages", 'Inventory - Public Private FMS'!$N$17:$N$1792))) &gt; 0)))</f>
        <v>17</v>
      </c>
      <c r="O101" s="242" cm="1">
        <f t="array" ref="O101">SUMPRODUCT(--(ISNUMBER(SEARCH("Slovenia", 'Inventory - Public Private FMS'!$J$17:$J$1792))
* ((ISNUMBER(SEARCH("Retail", 'Inventory - Public Private FMS'!$N$17:$N$1792)))
+ (ISNUMBER(SEARCH("All Stages", 'Inventory - Public Private FMS'!$N$17:$N$1792))) &gt; 0)))</f>
        <v>0</v>
      </c>
      <c r="P101" s="242" cm="1">
        <f t="array" ref="P101">SUMPRODUCT(--(ISNUMBER(SEARCH("Slovenia", 'Inventory - Public Private FMS'!$J$17:$J$1792))
* ((ISNUMBER(SEARCH("Food services", 'Inventory - Public Private FMS'!$N$17:$N$1792)))
+ (ISNUMBER(SEARCH("All Stages", 'Inventory - Public Private FMS'!$N$17:$N$1792))) &gt; 0)))</f>
        <v>0</v>
      </c>
      <c r="Q101" s="221"/>
      <c r="R101" s="243">
        <f>COUNTIF('Inventory - Public Private FMS'!$J$17:$J$1792, "*Slovenia*")</f>
        <v>20</v>
      </c>
    </row>
    <row r="102" spans="2:18">
      <c r="B102" s="244"/>
      <c r="C102" s="126" t="s">
        <v>737</v>
      </c>
      <c r="D102" s="246" cm="1">
        <f t="array" ref="D102">SUMPRODUCT(--(ISNUMBER(SEARCH("Slovenia",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5</v>
      </c>
      <c r="E102" s="247" cm="1">
        <f t="array" ref="E102">SUMPRODUCT(--(ISNUMBER(SEARCH("Slovenia",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5</v>
      </c>
      <c r="F102" s="247" cm="1">
        <f t="array" ref="F102">SUMPRODUCT(--(ISNUMBER(SEARCH("Slovenia",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6</v>
      </c>
      <c r="G102" s="247" cm="1">
        <f t="array" ref="G102">SUMPRODUCT(--(ISNUMBER(SEARCH("Slovenia",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10</v>
      </c>
      <c r="H102" s="247" cm="1">
        <f t="array" ref="H102">SUMPRODUCT(--(ISNUMBER(SEARCH("Slovenia",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12</v>
      </c>
      <c r="I102" s="247" cm="1">
        <f t="array" ref="I102">SUMPRODUCT(--(ISNUMBER(SEARCH("Slovenia", 'Inventory - Public Private FMS'!$J$17:$J$1792))
* ISNUMBER(SEARCH("Public", 'Inventory - Public Private FMS'!$L$17:$L$1792))
* ((ISNUMBER(SEARCH("Eggs", 'Inventory - Public Private FMS'!$F$17:$F$1792)))
+ (ISNUMBER(SEARCH("All food commodities", 'Inventory - Public Private FMS'!$F$17:$F$1792))) &gt; 0)))</f>
        <v>4</v>
      </c>
      <c r="J102" s="247" cm="1">
        <f t="array" ref="J102">SUMPRODUCT(--(ISNUMBER(SEARCH("Slovenia", 'Inventory - Public Private FMS'!$J$17:$J$1792))
* ISNUMBER(SEARCH("Public", 'Inventory - Public Private FMS'!$L$17:$L$1792))
* ((ISNUMBER(SEARCH("Fish", 'Inventory - Public Private FMS'!$F$17:$F$1792)))
+ (ISNUMBER(SEARCH("All food commodities", 'Inventory - Public Private FMS'!$F$17:$F$1792))) &gt; 0)))</f>
        <v>2</v>
      </c>
      <c r="K102" s="247" cm="1">
        <f t="array" ref="K102">SUMPRODUCT(--(ISNUMBER(SEARCH("Slovenia", 'Inventory - Public Private FMS'!$J$17:$J$1792))
* ISNUMBER(SEARCH("Public", 'Inventory - Public Private FMS'!$L$17:$L$1792))
* ((ISNUMBER(SEARCH("Cereals", 'Inventory - Public Private FMS'!$F$17:$F$1792)))
+ (ISNUMBER(SEARCH("All food commodities", 'Inventory - Public Private FMS'!$F$17:$F$1792))) &gt; 0)))</f>
        <v>5</v>
      </c>
      <c r="L102" s="224"/>
      <c r="M102" s="247" cm="1">
        <f t="array" ref="M102">SUMPRODUCT(--(ISNUMBER(SEARCH("Slovenia", 'Inventory - Public Private FMS'!$J$17:$J$1792))
* ISNUMBER(SEARCH("Public", 'Inventory - Public Private FMS'!$L$17:$L$1792))
* ((ISNUMBER(SEARCH("Primary Production", 'Inventory - Public Private FMS'!$N$17:$N$1792)))
+ (ISNUMBER(SEARCH("All Stages", 'Inventory - Public Private FMS'!$N$17:$N$1792))) &gt; 0)))</f>
        <v>11</v>
      </c>
      <c r="N102" s="247" cm="1">
        <f t="array" ref="N102">SUMPRODUCT(--(ISNUMBER(SEARCH("Slovenia", 'Inventory - Public Private FMS'!$J$17:$J$1792))
* ISNUMBER(SEARCH("Public", 'Inventory - Public Private FMS'!$L$17:$L$1792))
* ((ISNUMBER(SEARCH("Processing &amp; Manufacturing", 'Inventory - Public Private FMS'!$N$17:$N$1792)))
+ (ISNUMBER(SEARCH("All Stages", 'Inventory - Public Private FMS'!$N$17:$N$1792))) &gt; 0)))</f>
        <v>17</v>
      </c>
      <c r="O102" s="247" cm="1">
        <f t="array" ref="O102">SUMPRODUCT(--(ISNUMBER(SEARCH("Slovenia", 'Inventory - Public Private FMS'!$J$17:$J$1792))
* ISNUMBER(SEARCH("Public", 'Inventory - Public Private FMS'!$L$17:$L$1792))
* ((ISNUMBER(SEARCH("Retail", 'Inventory - Public Private FMS'!$N$17:$N$1792)))
+ (ISNUMBER(SEARCH("All Stages", 'Inventory - Public Private FMS'!$N$17:$N$1792))) &gt; 0)))</f>
        <v>0</v>
      </c>
      <c r="P102" s="247" cm="1">
        <f t="array" ref="P102">SUMPRODUCT(--(ISNUMBER(SEARCH("Slovenia", 'Inventory - Public Private FMS'!$J$17:$J$1792))
* ISNUMBER(SEARCH("Public", 'Inventory - Public Private FMS'!$L$17:$L$1792))
* ((ISNUMBER(SEARCH("Food services", 'Inventory - Public Private FMS'!$N$17:$N$1792)))
+ (ISNUMBER(SEARCH("All Stages", 'Inventory - Public Private FMS'!$N$17:$N$1792))) &gt; 0)))</f>
        <v>0</v>
      </c>
      <c r="Q102" s="224"/>
      <c r="R102" s="246" cm="1">
        <f t="array" ref="R102">SUMPRODUCT(--(ISNUMBER(SEARCH("Slovenia",'Inventory - Public Private FMS'!$J$17:$J$1792))
*(ISNUMBER(SEARCH("Public",'Inventory - Public Private FMS'!$L$17:$L$1792)))&gt;0))</f>
        <v>20</v>
      </c>
    </row>
    <row r="103" spans="2:18">
      <c r="B103" s="248"/>
      <c r="C103" s="126" t="s">
        <v>74</v>
      </c>
      <c r="D103" s="246" cm="1">
        <f t="array" ref="D103">SUMPRODUCT(--(ISNUMBER(SEARCH("Slovenia",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103" s="247" cm="1">
        <f t="array" ref="E103">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103" s="247" cm="1">
        <f t="array" ref="F103">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103" s="247" cm="1">
        <f t="array" ref="G103">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103" s="247" cm="1">
        <f t="array" ref="H103">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103" s="247" cm="1">
        <f t="array" ref="I103">SUMPRODUCT(--(ISNUMBER(SEARCH("Slovenia", 'Inventory - Public Private FMS'!$J$17:$J$1792))
* ISNUMBER(SEARCH("Private", 'Inventory - Public Private FMS'!$L$17:$L$1792))
* ((ISNUMBER(SEARCH("Eggs", 'Inventory - Public Private FMS'!$F$17:$F$1792)))
+ (ISNUMBER(SEARCH("All food commodities", 'Inventory - Public Private FMS'!$F$17:$F$1792))) &gt; 0)))</f>
        <v>0</v>
      </c>
      <c r="J103" s="247" cm="1">
        <f t="array" ref="J103">SUMPRODUCT(--(ISNUMBER(SEARCH("Slovenia", 'Inventory - Public Private FMS'!$J$17:$J$1792))
* ISNUMBER(SEARCH("Private", 'Inventory - Public Private FMS'!$L$17:$L$1792))
* ((ISNUMBER(SEARCH("Fish", 'Inventory - Public Private FMS'!$F$17:$F$1792)))
+ (ISNUMBER(SEARCH("All food commodities", 'Inventory - Public Private FMS'!$F$17:$F$1792))) &gt; 0)))</f>
        <v>0</v>
      </c>
      <c r="K103" s="247" cm="1">
        <f t="array" ref="K103">SUMPRODUCT(--(ISNUMBER(SEARCH("Slovenia", 'Inventory - Public Private FMS'!$J$17:$J$1792))
* ISNUMBER(SEARCH("Private", 'Inventory - Public Private FMS'!$L$17:$L$1792))
* ((ISNUMBER(SEARCH("Cereals", 'Inventory - Public Private FMS'!$F$17:$F$1792)))
+ (ISNUMBER(SEARCH("All food commodities", 'Inventory - Public Private FMS'!$F$17:$F$1792))) &gt; 0)))</f>
        <v>0</v>
      </c>
      <c r="L103" s="224"/>
      <c r="M103" s="247" cm="1">
        <f t="array" ref="M103">SUMPRODUCT(--(ISNUMBER(SEARCH("Slovenia", 'Inventory - Public Private FMS'!$J$17:$J$1792))
* ISNUMBER(SEARCH("Private", 'Inventory - Public Private FMS'!$L$17:$L$1792))
* ((ISNUMBER(SEARCH("Primary Production", 'Inventory - Public Private FMS'!$N$17:$N$1792)))
+ (ISNUMBER(SEARCH("All Stages", 'Inventory - Public Private FMS'!$N$17:$N$1792))) &gt; 0)))</f>
        <v>0</v>
      </c>
      <c r="N103" s="247" cm="1">
        <f t="array" ref="N103">SUMPRODUCT(--(ISNUMBER(SEARCH("Slovenia", 'Inventory - Public Private FMS'!$J$17:$J$1792))
* ISNUMBER(SEARCH("Private", 'Inventory - Public Private FMS'!$L$17:$L$1792))
* ((ISNUMBER(SEARCH("Processing &amp; Manufacturing", 'Inventory - Public Private FMS'!$N$17:$N$1792)))
+ (ISNUMBER(SEARCH("All Stages", 'Inventory - Public Private FMS'!$N$17:$N$1792))) &gt; 0)))</f>
        <v>0</v>
      </c>
      <c r="O103" s="247" cm="1">
        <f t="array" ref="O103">SUMPRODUCT(--(ISNUMBER(SEARCH("Slovenia", 'Inventory - Public Private FMS'!$J$17:$J$1792))
* ISNUMBER(SEARCH("Private", 'Inventory - Public Private FMS'!$L$17:$L$1792))
* ((ISNUMBER(SEARCH("Retail", 'Inventory - Public Private FMS'!$N$17:$N$1792)))
+ (ISNUMBER(SEARCH("All Stages", 'Inventory - Public Private FMS'!$N$17:$N$1792))) &gt; 0)))</f>
        <v>0</v>
      </c>
      <c r="P103" s="247" cm="1">
        <f t="array" ref="P103">SUMPRODUCT(--(ISNUMBER(SEARCH("Slovenia", 'Inventory - Public Private FMS'!$J$17:$J$1792))
* ISNUMBER(SEARCH("Private", 'Inventory - Public Private FMS'!$L$17:$L$1792))
* ((ISNUMBER(SEARCH("Food services", 'Inventory - Public Private FMS'!$N$17:$N$1792)))
+ (ISNUMBER(SEARCH("All Stages", 'Inventory - Public Private FMS'!$N$17:$N$1792))) &gt; 0)))</f>
        <v>0</v>
      </c>
      <c r="Q103" s="224"/>
      <c r="R103" s="246" cm="1">
        <f t="array" ref="R103">SUMPRODUCT(--(ISNUMBER(SEARCH("Slovenia",'Inventory - Public Private FMS'!$J$17:$J$1792))
*(ISNUMBER(SEARCH("Private",'Inventory - Public Private FMS'!$L$17:$L$1792)))&gt;0))</f>
        <v>0</v>
      </c>
    </row>
    <row r="104" spans="2:18">
      <c r="B104" s="248"/>
      <c r="C104" s="249" t="s">
        <v>3941</v>
      </c>
      <c r="D104" s="246">
        <f t="shared" ref="D104:K104" si="24">SUM(D102:D103)</f>
        <v>5</v>
      </c>
      <c r="E104" s="246">
        <f t="shared" si="24"/>
        <v>5</v>
      </c>
      <c r="F104" s="246">
        <f t="shared" si="24"/>
        <v>6</v>
      </c>
      <c r="G104" s="246">
        <f t="shared" si="24"/>
        <v>10</v>
      </c>
      <c r="H104" s="246">
        <f t="shared" si="24"/>
        <v>12</v>
      </c>
      <c r="I104" s="246">
        <f t="shared" si="24"/>
        <v>4</v>
      </c>
      <c r="J104" s="246">
        <f t="shared" si="24"/>
        <v>2</v>
      </c>
      <c r="K104" s="246">
        <f t="shared" si="24"/>
        <v>5</v>
      </c>
      <c r="L104" s="224"/>
      <c r="M104" s="246">
        <f>SUM(M102:M103)</f>
        <v>11</v>
      </c>
      <c r="N104" s="246">
        <f>SUM(N102:N103)</f>
        <v>17</v>
      </c>
      <c r="O104" s="246">
        <f>SUM(O102:O103)</f>
        <v>0</v>
      </c>
      <c r="P104" s="246">
        <f>SUM(P102:P103)</f>
        <v>0</v>
      </c>
      <c r="Q104" s="224"/>
      <c r="R104" s="246">
        <f>SUM(R102:R103)</f>
        <v>20</v>
      </c>
    </row>
    <row r="105" spans="2:18">
      <c r="B105" s="240" t="s">
        <v>3411</v>
      </c>
      <c r="C105" s="253" t="s">
        <v>3916</v>
      </c>
      <c r="D105" s="242" cm="1">
        <f t="array" ref="D105">SUMPRODUCT(--(ISNUMBER(SEARCH("Spain", 'Inventory - Public Private FMS'!$J$17:$J$1792))
* ((ISNUMBER(SEARCH("Fruits", 'Inventory - Public Private FMS'!$F$17:$F$1792)))
+ (ISNUMBER(SEARCH("Vegetables", 'Inventory - Public Private FMS'!$F$17:$F$1792)))
+ (ISNUMBER(SEARCH("All food commodities", 'Inventory - Public Private FMS'!$F$17:$F$1792))) &gt; 0)))</f>
        <v>59</v>
      </c>
      <c r="E105" s="242" cm="1">
        <f t="array" ref="E105">SUMPRODUCT(--(ISNUMBER(SEARCH("Spain",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4</v>
      </c>
      <c r="F105" s="242" cm="1">
        <f t="array" ref="F105">SUMPRODUCT(--(ISNUMBER(SEARCH("Spain",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10</v>
      </c>
      <c r="G105" s="242" cm="1">
        <f t="array" ref="G105">SUMPRODUCT(--(ISNUMBER(SEARCH("Spain",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13</v>
      </c>
      <c r="H105" s="242" cm="1">
        <f t="array" ref="H105">SUMPRODUCT(--(ISNUMBER(SEARCH("Spain",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25</v>
      </c>
      <c r="I105" s="242" cm="1">
        <f t="array" ref="I105">SUMPRODUCT(--(ISNUMBER(SEARCH("Spain", 'Inventory - Public Private FMS'!$J$17:$J$1792))
* ((ISNUMBER(SEARCH("Eggs", 'Inventory - Public Private FMS'!$F$17:$F$1792)))
+ (ISNUMBER(SEARCH("All food commodities", 'Inventory - Public Private FMS'!$F$17:$F$1792))) &gt; 0)))</f>
        <v>1</v>
      </c>
      <c r="J105" s="242" cm="1">
        <f t="array" ref="J105">SUMPRODUCT(--(ISNUMBER(SEARCH("Spain", 'Inventory - Public Private FMS'!$J$17:$J$1792))
* ((ISNUMBER(SEARCH("Fish", 'Inventory - Public Private FMS'!$F$17:$F$1792)))
+ (ISNUMBER(SEARCH("All food commodities", 'Inventory - Public Private FMS'!$F$17:$F$1792))) &gt; 0)))</f>
        <v>4</v>
      </c>
      <c r="K105" s="242" cm="1">
        <f t="array" ref="K105">SUMPRODUCT(--(ISNUMBER(SEARCH("Spain", 'Inventory - Public Private FMS'!$J$17:$J$1792))
* ((ISNUMBER(SEARCH("Cereals", 'Inventory - Public Private FMS'!$F$17:$F$1792)))
+ (ISNUMBER(SEARCH("All food commodities", 'Inventory - Public Private FMS'!$F$17:$F$1792))) &gt; 0)))</f>
        <v>5</v>
      </c>
      <c r="L105" s="221"/>
      <c r="M105" s="242" cm="1">
        <f t="array" ref="M105">SUMPRODUCT(--(ISNUMBER(SEARCH("Spain", 'Inventory - Public Private FMS'!$J$17:$J$1792))
* ((ISNUMBER(SEARCH("Primary Production", 'Inventory - Public Private FMS'!$N$17:$N$1792)))
+ (ISNUMBER(SEARCH("All Stages", 'Inventory - Public Private FMS'!$N$17:$N$1792))) &gt; 0)))</f>
        <v>89</v>
      </c>
      <c r="N105" s="242" cm="1">
        <f t="array" ref="N105">SUMPRODUCT(--(ISNUMBER(SEARCH("Spain", 'Inventory - Public Private FMS'!$J$17:$J$1792))
* ((ISNUMBER(SEARCH("Processing &amp; Manufacturing", 'Inventory - Public Private FMS'!$N$17:$N$1792)))
+ (ISNUMBER(SEARCH("All Stages", 'Inventory - Public Private FMS'!$N$17:$N$1792))) &gt; 0)))</f>
        <v>89</v>
      </c>
      <c r="O105" s="242" cm="1">
        <f t="array" ref="O105">SUMPRODUCT(--(ISNUMBER(SEARCH("Spain", 'Inventory - Public Private FMS'!$J$17:$J$1792))
* ((ISNUMBER(SEARCH("Retail", 'Inventory - Public Private FMS'!$N$17:$N$1792)))
+ (ISNUMBER(SEARCH("All Stages", 'Inventory - Public Private FMS'!$N$17:$N$1792))) &gt; 0)))</f>
        <v>1</v>
      </c>
      <c r="P105" s="242" cm="1">
        <f t="array" ref="P105">SUMPRODUCT(--(ISNUMBER(SEARCH("Spain", 'Inventory - Public Private FMS'!$J$17:$J$1792))
* ((ISNUMBER(SEARCH("Food services", 'Inventory - Public Private FMS'!$N$17:$N$1792)))
+ (ISNUMBER(SEARCH("All Stages", 'Inventory - Public Private FMS'!$N$17:$N$1792))) &gt; 0)))</f>
        <v>0</v>
      </c>
      <c r="Q105" s="221"/>
      <c r="R105" s="243">
        <f>COUNTIF('Inventory - Public Private FMS'!$J$17:$J$1792, "*Spain*")</f>
        <v>90</v>
      </c>
    </row>
    <row r="106" spans="2:18">
      <c r="B106" s="244"/>
      <c r="C106" s="126" t="s">
        <v>737</v>
      </c>
      <c r="D106" s="246" cm="1">
        <f t="array" ref="D106">SUMPRODUCT(--(ISNUMBER(SEARCH("Spain",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59</v>
      </c>
      <c r="E106" s="247" cm="1">
        <f t="array" ref="E106">SUMPRODUCT(--(ISNUMBER(SEARCH("Spain",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4</v>
      </c>
      <c r="F106" s="247" cm="1">
        <f t="array" ref="F106">SUMPRODUCT(--(ISNUMBER(SEARCH("Spain",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10</v>
      </c>
      <c r="G106" s="247" cm="1">
        <f t="array" ref="G106">SUMPRODUCT(--(ISNUMBER(SEARCH("Spain",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13</v>
      </c>
      <c r="H106" s="247" cm="1">
        <f t="array" ref="H106">SUMPRODUCT(--(ISNUMBER(SEARCH("Spain",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25</v>
      </c>
      <c r="I106" s="247" cm="1">
        <f t="array" ref="I106">SUMPRODUCT(--(ISNUMBER(SEARCH("Spain", 'Inventory - Public Private FMS'!$J$17:$J$1792))
* ISNUMBER(SEARCH("Public", 'Inventory - Public Private FMS'!$L$17:$L$1792))
* ((ISNUMBER(SEARCH("Eggs", 'Inventory - Public Private FMS'!$F$17:$F$1792)))
+ (ISNUMBER(SEARCH("All food commodities", 'Inventory - Public Private FMS'!$F$17:$F$1792))) &gt; 0)))</f>
        <v>1</v>
      </c>
      <c r="J106" s="247" cm="1">
        <f t="array" ref="J106">SUMPRODUCT(--(ISNUMBER(SEARCH("Spain", 'Inventory - Public Private FMS'!$J$17:$J$1792))
* ISNUMBER(SEARCH("Public", 'Inventory - Public Private FMS'!$L$17:$L$1792))
* ((ISNUMBER(SEARCH("Fish", 'Inventory - Public Private FMS'!$F$17:$F$1792)))
+ (ISNUMBER(SEARCH("All food commodities", 'Inventory - Public Private FMS'!$F$17:$F$1792))) &gt; 0)))</f>
        <v>4</v>
      </c>
      <c r="K106" s="247" cm="1">
        <f t="array" ref="K106">SUMPRODUCT(--(ISNUMBER(SEARCH("Spain", 'Inventory - Public Private FMS'!$J$17:$J$1792))
* ISNUMBER(SEARCH("Public", 'Inventory - Public Private FMS'!$L$17:$L$1792))
* ((ISNUMBER(SEARCH("Cereals", 'Inventory - Public Private FMS'!$F$17:$F$1792)))
+ (ISNUMBER(SEARCH("All food commodities", 'Inventory - Public Private FMS'!$F$17:$F$1792))) &gt; 0)))</f>
        <v>5</v>
      </c>
      <c r="L106" s="224"/>
      <c r="M106" s="247" cm="1">
        <f t="array" ref="M106">SUMPRODUCT(--(ISNUMBER(SEARCH("Spain", 'Inventory - Public Private FMS'!$J$17:$J$1792))
* ISNUMBER(SEARCH("Public", 'Inventory - Public Private FMS'!$L$17:$L$1792))
* ((ISNUMBER(SEARCH("Primary Production", 'Inventory - Public Private FMS'!$N$17:$N$1792)))
+ (ISNUMBER(SEARCH("All Stages", 'Inventory - Public Private FMS'!$N$17:$N$1792))) &gt; 0)))</f>
        <v>89</v>
      </c>
      <c r="N106" s="247" cm="1">
        <f t="array" ref="N106">SUMPRODUCT(--(ISNUMBER(SEARCH("Spain", 'Inventory - Public Private FMS'!$J$17:$J$1792))
* ISNUMBER(SEARCH("Public", 'Inventory - Public Private FMS'!$L$17:$L$1792))
* ((ISNUMBER(SEARCH("Processing &amp; Manufacturing", 'Inventory - Public Private FMS'!$N$17:$N$1792)))
+ (ISNUMBER(SEARCH("All Stages", 'Inventory - Public Private FMS'!$N$17:$N$1792))) &gt; 0)))</f>
        <v>89</v>
      </c>
      <c r="O106" s="247" cm="1">
        <f t="array" ref="O106">SUMPRODUCT(--(ISNUMBER(SEARCH("Spain", 'Inventory - Public Private FMS'!$J$17:$J$1792))
* ISNUMBER(SEARCH("Public", 'Inventory - Public Private FMS'!$L$17:$L$1792))
* ((ISNUMBER(SEARCH("Retail", 'Inventory - Public Private FMS'!$N$17:$N$1792)))
+ (ISNUMBER(SEARCH("All Stages", 'Inventory - Public Private FMS'!$N$17:$N$1792))) &gt; 0)))</f>
        <v>1</v>
      </c>
      <c r="P106" s="247" cm="1">
        <f t="array" ref="P106">SUMPRODUCT(--(ISNUMBER(SEARCH("Spain", 'Inventory - Public Private FMS'!$J$17:$J$1792))
* ISNUMBER(SEARCH("Public", 'Inventory - Public Private FMS'!$L$17:$L$1792))
* ((ISNUMBER(SEARCH("Food services", 'Inventory - Public Private FMS'!$N$17:$N$1792)))
+ (ISNUMBER(SEARCH("All Stages", 'Inventory - Public Private FMS'!$N$17:$N$1792))) &gt; 0)))</f>
        <v>0</v>
      </c>
      <c r="Q106" s="224"/>
      <c r="R106" s="246" cm="1">
        <f t="array" ref="R106">SUMPRODUCT(--(ISNUMBER(SEARCH("Spain",'Inventory - Public Private FMS'!$J$17:$J$1792))
*(ISNUMBER(SEARCH("Public",'Inventory - Public Private FMS'!$L$17:$L$1792)))&gt;0))</f>
        <v>90</v>
      </c>
    </row>
    <row r="107" spans="2:18">
      <c r="B107" s="248"/>
      <c r="C107" s="126" t="s">
        <v>74</v>
      </c>
      <c r="D107" s="246" cm="1">
        <f t="array" ref="D107">SUMPRODUCT(--(ISNUMBER(SEARCH("Spain",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107" s="247" cm="1">
        <f t="array" ref="E107">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107" s="247" cm="1">
        <f t="array" ref="F107">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107" s="247" cm="1">
        <f t="array" ref="G107">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107" s="247" cm="1">
        <f t="array" ref="H107">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107" s="247" cm="1">
        <f t="array" ref="I107">SUMPRODUCT(--(ISNUMBER(SEARCH("Spain", 'Inventory - Public Private FMS'!$J$17:$J$1792))
* ISNUMBER(SEARCH("Private", 'Inventory - Public Private FMS'!$L$17:$L$1792))
* ((ISNUMBER(SEARCH("Eggs", 'Inventory - Public Private FMS'!$F$17:$F$1792)))
+ (ISNUMBER(SEARCH("All food commodities", 'Inventory - Public Private FMS'!$F$17:$F$1792))) &gt; 0)))</f>
        <v>0</v>
      </c>
      <c r="J107" s="247" cm="1">
        <f t="array" ref="J107">SUMPRODUCT(--(ISNUMBER(SEARCH("Spain", 'Inventory - Public Private FMS'!$J$17:$J$1792))
* ISNUMBER(SEARCH("Private", 'Inventory - Public Private FMS'!$L$17:$L$1792))
* ((ISNUMBER(SEARCH("Fish", 'Inventory - Public Private FMS'!$F$17:$F$1792)))
+ (ISNUMBER(SEARCH("All food commodities", 'Inventory - Public Private FMS'!$F$17:$F$1792))) &gt; 0)))</f>
        <v>0</v>
      </c>
      <c r="K107" s="247" cm="1">
        <f t="array" ref="K107">SUMPRODUCT(--(ISNUMBER(SEARCH("Spain", 'Inventory - Public Private FMS'!$J$17:$J$1792))
* ISNUMBER(SEARCH("Private", 'Inventory - Public Private FMS'!$L$17:$L$1792))
* ((ISNUMBER(SEARCH("Cereals", 'Inventory - Public Private FMS'!$F$17:$F$1792)))
+ (ISNUMBER(SEARCH("All food commodities", 'Inventory - Public Private FMS'!$F$17:$F$1792))) &gt; 0)))</f>
        <v>0</v>
      </c>
      <c r="L107" s="224"/>
      <c r="M107" s="247" cm="1">
        <f t="array" ref="M107">SUMPRODUCT(--(ISNUMBER(SEARCH("Spain", 'Inventory - Public Private FMS'!$J$17:$J$1792))
* ISNUMBER(SEARCH("Private", 'Inventory - Public Private FMS'!$L$17:$L$1792))
* ((ISNUMBER(SEARCH("Primary Production", 'Inventory - Public Private FMS'!$N$17:$N$1792)))
+ (ISNUMBER(SEARCH("All Stages", 'Inventory - Public Private FMS'!$N$17:$N$1792))) &gt; 0)))</f>
        <v>0</v>
      </c>
      <c r="N107" s="247" cm="1">
        <f t="array" ref="N107">SUMPRODUCT(--(ISNUMBER(SEARCH("Spain", 'Inventory - Public Private FMS'!$J$17:$J$1792))
* ISNUMBER(SEARCH("Private", 'Inventory - Public Private FMS'!$L$17:$L$1792))
* ((ISNUMBER(SEARCH("Processing &amp; Manufacturing", 'Inventory - Public Private FMS'!$N$17:$N$1792)))
+ (ISNUMBER(SEARCH("All Stages", 'Inventory - Public Private FMS'!$N$17:$N$1792))) &gt; 0)))</f>
        <v>0</v>
      </c>
      <c r="O107" s="247" cm="1">
        <f t="array" ref="O107">SUMPRODUCT(--(ISNUMBER(SEARCH("Spain", 'Inventory - Public Private FMS'!$J$17:$J$1792))
* ISNUMBER(SEARCH("Private", 'Inventory - Public Private FMS'!$L$17:$L$1792))
* ((ISNUMBER(SEARCH("Retail", 'Inventory - Public Private FMS'!$N$17:$N$1792)))
+ (ISNUMBER(SEARCH("All Stages", 'Inventory - Public Private FMS'!$N$17:$N$1792))) &gt; 0)))</f>
        <v>0</v>
      </c>
      <c r="P107" s="247" cm="1">
        <f t="array" ref="P107">SUMPRODUCT(--(ISNUMBER(SEARCH("Spain", 'Inventory - Public Private FMS'!$J$17:$J$1792))
* ISNUMBER(SEARCH("Private", 'Inventory - Public Private FMS'!$L$17:$L$1792))
* ((ISNUMBER(SEARCH("Food services", 'Inventory - Public Private FMS'!$N$17:$N$1792)))
+ (ISNUMBER(SEARCH("All Stages", 'Inventory - Public Private FMS'!$N$17:$N$1792))) &gt; 0)))</f>
        <v>0</v>
      </c>
      <c r="Q107" s="224"/>
      <c r="R107" s="246" cm="1">
        <f t="array" ref="R107">SUMPRODUCT(--(ISNUMBER(SEARCH("Spain",'Inventory - Public Private FMS'!$J$17:$J$1792))
*(ISNUMBER(SEARCH("Private",'Inventory - Public Private FMS'!$L$17:$L$1792)))&gt;0))</f>
        <v>0</v>
      </c>
    </row>
    <row r="108" spans="2:18">
      <c r="B108" s="248"/>
      <c r="C108" s="249" t="s">
        <v>3941</v>
      </c>
      <c r="D108" s="246">
        <f t="shared" ref="D108:K108" si="25">SUM(D106:D107)</f>
        <v>59</v>
      </c>
      <c r="E108" s="246">
        <f t="shared" si="25"/>
        <v>4</v>
      </c>
      <c r="F108" s="246">
        <f t="shared" si="25"/>
        <v>10</v>
      </c>
      <c r="G108" s="246">
        <f t="shared" si="25"/>
        <v>13</v>
      </c>
      <c r="H108" s="246">
        <f t="shared" si="25"/>
        <v>25</v>
      </c>
      <c r="I108" s="246">
        <f t="shared" si="25"/>
        <v>1</v>
      </c>
      <c r="J108" s="246">
        <f t="shared" si="25"/>
        <v>4</v>
      </c>
      <c r="K108" s="246">
        <f t="shared" si="25"/>
        <v>5</v>
      </c>
      <c r="L108" s="224"/>
      <c r="M108" s="246">
        <f>SUM(M106:M107)</f>
        <v>89</v>
      </c>
      <c r="N108" s="246">
        <f>SUM(N106:N107)</f>
        <v>89</v>
      </c>
      <c r="O108" s="246">
        <f>SUM(O106:O107)</f>
        <v>1</v>
      </c>
      <c r="P108" s="246">
        <f>SUM(P106:P107)</f>
        <v>0</v>
      </c>
      <c r="Q108" s="224"/>
      <c r="R108" s="246">
        <f>SUM(R106:R107)</f>
        <v>90</v>
      </c>
    </row>
    <row r="109" spans="2:18">
      <c r="B109" s="240" t="s">
        <v>3443</v>
      </c>
      <c r="C109" s="253" t="s">
        <v>3916</v>
      </c>
      <c r="D109" s="242" cm="1">
        <f t="array" ref="D109">SUMPRODUCT(--(ISNUMBER(SEARCH("Sweden", 'Inventory - Public Private FMS'!$J$17:$J$1792))
* ((ISNUMBER(SEARCH("Fruits", 'Inventory - Public Private FMS'!$F$17:$F$1792)))
+ (ISNUMBER(SEARCH("Vegetables", 'Inventory - Public Private FMS'!$F$17:$F$1792)))
+ (ISNUMBER(SEARCH("All food commodities", 'Inventory - Public Private FMS'!$F$17:$F$1792))) &gt; 0)))</f>
        <v>3</v>
      </c>
      <c r="E109" s="242" cm="1">
        <f t="array" ref="E109">SUMPRODUCT(--(ISNUMBER(SEARCH("Sweden", 'Inventory - Public Private FMS'!$J$17:$J$1792))
* ((ISNUMBER(SEARCH("Meat", 'Inventory - Public Private FMS'!$F$17:$F$1792)))
+ (ISNUMBER(SEARCH("All food commodities", 'Inventory - Public Private FMS'!$F$17:$F$1792)))
+ (ISNUMBER(SEARCH("livestock", 'Inventory - Public Private FMS'!$F$17:$F$1792)))
+ (ISNUMBER(SEARCH("Poultry", 'Inventory - Public Private FMS'!$F$17:$F$1792))) &gt; 0)))</f>
        <v>0</v>
      </c>
      <c r="F109" s="242" cm="1">
        <f t="array" ref="F109">SUMPRODUCT(--(ISNUMBER(SEARCH("Sweden",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&gt; 0)))</f>
        <v>0</v>
      </c>
      <c r="G109" s="242" cm="1">
        <f t="array" ref="G109">SUMPRODUCT(--(ISNUMBER(SEARCH("Sweden", 'Inventory - Public Private FMS'!$J$17:$J$1792))
* ((ISNUMBER(SEARCH("Meat", 'Inventory - Public Private FMS'!$F$17:$F$1792)))
+ (ISNUMBER(SEARCH("All food commodities", 'Inventory - Public Private FMS'!$F$17:$F$1792)))
+ (ISNUMBER(SEARCH("livestock", 'Inventory - Public Private FMS'!$F$17:$F$1792)))
+ (ISNUMBER(SEARCH("Pork", 'Inventory - Public Private FMS'!$F$17:$F$1792))) &gt; 0)))</f>
        <v>1</v>
      </c>
      <c r="H109" s="242" cm="1">
        <f t="array" ref="H109">SUMPRODUCT(--(ISNUMBER(SEARCH("Sweden", 'Inventory - Public Private FMS'!$J$17:$J$1792))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109" s="242" cm="1">
        <f t="array" ref="I109">SUMPRODUCT(--(ISNUMBER(SEARCH("Sweden", 'Inventory - Public Private FMS'!$J$17:$J$1792))
* ((ISNUMBER(SEARCH("Eggs", 'Inventory - Public Private FMS'!$F$17:$F$1792)))
+ (ISNUMBER(SEARCH("All food commodities", 'Inventory - Public Private FMS'!$F$17:$F$1792))) &gt; 0)))</f>
        <v>0</v>
      </c>
      <c r="J109" s="242" cm="1">
        <f t="array" ref="J109">SUMPRODUCT(--(ISNUMBER(SEARCH("Sweden", 'Inventory - Public Private FMS'!$J$17:$J$1792))
* ((ISNUMBER(SEARCH("Fish", 'Inventory - Public Private FMS'!$F$17:$F$1792)))
+ (ISNUMBER(SEARCH("All food commodities", 'Inventory - Public Private FMS'!$F$17:$F$1792))) &gt; 0)))</f>
        <v>2</v>
      </c>
      <c r="K109" s="242" cm="1">
        <f t="array" ref="K109">SUMPRODUCT(--(ISNUMBER(SEARCH("Sweden", 'Inventory - Public Private FMS'!$J$17:$J$1792))
* ((ISNUMBER(SEARCH("Cereals", 'Inventory - Public Private FMS'!$F$17:$F$1792)))
+ (ISNUMBER(SEARCH("All food commodities", 'Inventory - Public Private FMS'!$F$17:$F$1792))) &gt; 0)))</f>
        <v>1</v>
      </c>
      <c r="L109" s="221"/>
      <c r="M109" s="242" cm="1">
        <f t="array" ref="M109">SUMPRODUCT(--(ISNUMBER(SEARCH("Sweden", 'Inventory - Public Private FMS'!$J$17:$J$1792))
* ((ISNUMBER(SEARCH("Primary Production", 'Inventory - Public Private FMS'!$N$17:$N$1792)))
+ (ISNUMBER(SEARCH("All Stages", 'Inventory - Public Private FMS'!$N$17:$N$1792))) &gt; 0)))</f>
        <v>7</v>
      </c>
      <c r="N109" s="242" cm="1">
        <f t="array" ref="N109">SUMPRODUCT(--(ISNUMBER(SEARCH("Sweden", 'Inventory - Public Private FMS'!$J$17:$J$1792))
* ((ISNUMBER(SEARCH("Processing &amp; Manufacturing", 'Inventory - Public Private FMS'!$N$17:$N$1792)))
+ (ISNUMBER(SEARCH("All Stages", 'Inventory - Public Private FMS'!$N$17:$N$1792))) &gt; 0)))</f>
        <v>7</v>
      </c>
      <c r="O109" s="242" cm="1">
        <f t="array" ref="O109">SUMPRODUCT(--(ISNUMBER(SEARCH("Sweden", 'Inventory - Public Private FMS'!$J$17:$J$1792))
* ((ISNUMBER(SEARCH("Retail", 'Inventory - Public Private FMS'!$N$17:$N$1792)))
+ (ISNUMBER(SEARCH("All Stages", 'Inventory - Public Private FMS'!$N$17:$N$1792))) &gt; 0)))</f>
        <v>0</v>
      </c>
      <c r="P109" s="242" cm="1">
        <f t="array" ref="P109">SUMPRODUCT(--(ISNUMBER(SEARCH("Sweden", 'Inventory - Public Private FMS'!$J$17:$J$1792))
* ((ISNUMBER(SEARCH("Food services", 'Inventory - Public Private FMS'!$N$17:$N$1792)))
+ (ISNUMBER(SEARCH("All Stages", 'Inventory - Public Private FMS'!$N$17:$N$1792))) &gt; 0)))</f>
        <v>0</v>
      </c>
      <c r="Q109" s="221"/>
      <c r="R109" s="243">
        <f>COUNTIF('Inventory - Public Private FMS'!$J$17:$J$1792, "*Sweden*")</f>
        <v>7</v>
      </c>
    </row>
    <row r="110" spans="2:18">
      <c r="B110" s="244"/>
      <c r="C110" s="126" t="s">
        <v>737</v>
      </c>
      <c r="D110" s="246" cm="1">
        <f t="array" ref="D110">SUMPRODUCT(--(ISNUMBER(SEARCH("Sweden", 'Inventory - Public Private FMS'!$J$17:$J$1792))
* ISNUMBER(SEARCH("Public", 'Inventory - Public Private FMS'!$L$17:$L$1792))
* ((ISNUMBER(SEARCH("Fruits", 'Inventory - Public Private FMS'!$F$17:$F$1792))
+ ISNUMBER(SEARCH("Vegetables", 'Inventory - Public Private FMS'!$F$17:$F$1792))
+ ISNUMBER(SEARCH("All food commodities", 'Inventory - Public Private FMS'!$F$17:$F$1792))) &gt; 0)))</f>
        <v>3</v>
      </c>
      <c r="E110" s="247" cm="1">
        <f t="array" ref="E110">SUMPRODUCT(--(ISNUMBER(SEARCH("Sweden",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110" s="247" cm="1">
        <f t="array" ref="F110">SUMPRODUCT(--(ISNUMBER(SEARCH("Sweden",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110" s="247" cm="1">
        <f t="array" ref="G110">SUMPRODUCT(--(ISNUMBER(SEARCH("Sweden",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H110" s="247" cm="1">
        <f t="array" ref="H110">SUMPRODUCT(--(ISNUMBER(SEARCH("Sweden", 'Inventory - Public Private FMS'!$J$17:$J$1792))
* ISNUMBER(SEARCH("Public",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I110" s="247" cm="1">
        <f t="array" ref="I110">SUMPRODUCT(--(ISNUMBER(SEARCH("Sweden", 'Inventory - Public Private FMS'!$J$17:$J$1792))
* ISNUMBER(SEARCH("Public", 'Inventory - Public Private FMS'!$L$17:$L$1792))
* ((ISNUMBER(SEARCH("Eggs", 'Inventory - Public Private FMS'!$F$17:$F$1792)))
+ (ISNUMBER(SEARCH("All food commodities", 'Inventory - Public Private FMS'!$F$17:$F$1792))) &gt; 0)))</f>
        <v>0</v>
      </c>
      <c r="J110" s="247" cm="1">
        <f t="array" ref="J110">SUMPRODUCT(--(ISNUMBER(SEARCH("Sweden", 'Inventory - Public Private FMS'!$J$17:$J$1792))
* ISNUMBER(SEARCH("Public", 'Inventory - Public Private FMS'!$L$17:$L$1792))
* ((ISNUMBER(SEARCH("Fish", 'Inventory - Public Private FMS'!$F$17:$F$1792)))
+ (ISNUMBER(SEARCH("All food commodities", 'Inventory - Public Private FMS'!$F$17:$F$1792))) &gt; 0)))</f>
        <v>2</v>
      </c>
      <c r="K110" s="247" cm="1">
        <f t="array" ref="K110">SUMPRODUCT(--(ISNUMBER(SEARCH("Sweden", 'Inventory - Public Private FMS'!$J$17:$J$1792))
* ISNUMBER(SEARCH("Public", 'Inventory - Public Private FMS'!$L$17:$L$1792))
* ((ISNUMBER(SEARCH("Cereals", 'Inventory - Public Private FMS'!$F$17:$F$1792)))
+ (ISNUMBER(SEARCH("All food commodities", 'Inventory - Public Private FMS'!$F$17:$F$1792))) &gt; 0)))</f>
        <v>1</v>
      </c>
      <c r="L110" s="224"/>
      <c r="M110" s="247" cm="1">
        <f t="array" ref="M110">SUMPRODUCT(--(ISNUMBER(SEARCH("Sweden", 'Inventory - Public Private FMS'!$J$17:$J$1792))
* ISNUMBER(SEARCH("Public", 'Inventory - Public Private FMS'!$L$17:$L$1792))
* ((ISNUMBER(SEARCH("Primary Production", 'Inventory - Public Private FMS'!$N$17:$N$1792)))
+ (ISNUMBER(SEARCH("All Stages", 'Inventory - Public Private FMS'!$N$17:$N$1792))) &gt; 0)))</f>
        <v>7</v>
      </c>
      <c r="N110" s="247" cm="1">
        <f t="array" ref="N110">SUMPRODUCT(--(ISNUMBER(SEARCH("Sweden", 'Inventory - Public Private FMS'!$J$17:$J$1792))
* ISNUMBER(SEARCH("Public", 'Inventory - Public Private FMS'!$L$17:$L$1792))
* ((ISNUMBER(SEARCH("Processing &amp; Manufacturing", 'Inventory - Public Private FMS'!$N$17:$N$1792)))
+ (ISNUMBER(SEARCH("All Stages", 'Inventory - Public Private FMS'!$N$17:$N$1792))) &gt; 0)))</f>
        <v>7</v>
      </c>
      <c r="O110" s="247" cm="1">
        <f t="array" ref="O110">SUMPRODUCT(--(ISNUMBER(SEARCH("Sweden", 'Inventory - Public Private FMS'!$J$17:$J$1792))
* ISNUMBER(SEARCH("Public", 'Inventory - Public Private FMS'!$L$17:$L$1792))
* ((ISNUMBER(SEARCH("Retail", 'Inventory - Public Private FMS'!$N$17:$N$1792)))
+ (ISNUMBER(SEARCH("All Stages", 'Inventory - Public Private FMS'!$N$17:$N$1792))) &gt; 0)))</f>
        <v>0</v>
      </c>
      <c r="P110" s="247" cm="1">
        <f t="array" ref="P110">SUMPRODUCT(--(ISNUMBER(SEARCH("Sweden", 'Inventory - Public Private FMS'!$J$17:$J$1792))
* ISNUMBER(SEARCH("Public", 'Inventory - Public Private FMS'!$L$17:$L$1792))
* ((ISNUMBER(SEARCH("Food services", 'Inventory - Public Private FMS'!$N$17:$N$1792)))
+ (ISNUMBER(SEARCH("All Stages", 'Inventory - Public Private FMS'!$N$17:$N$1792))) &gt; 0)))</f>
        <v>0</v>
      </c>
      <c r="Q110" s="224"/>
      <c r="R110" s="246" cm="1">
        <f t="array" ref="R110">SUMPRODUCT(--(ISNUMBER(SEARCH("Sweden",'Inventory - Public Private FMS'!$J$17:$J$1792))
*(ISNUMBER(SEARCH("Public",'Inventory - Public Private FMS'!$L$17:$L$1792)))&gt;0))</f>
        <v>7</v>
      </c>
    </row>
    <row r="111" spans="2:18">
      <c r="B111" s="248"/>
      <c r="C111" s="126" t="s">
        <v>74</v>
      </c>
      <c r="D111" s="246" cm="1">
        <f t="array" ref="D111">SUMPRODUCT(--(ISNUMBER(SEARCH("Sweden",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E111" s="247" cm="1">
        <f t="array" ref="E111">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F111" s="247" cm="1">
        <f t="array" ref="F111">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G111" s="247" cm="1">
        <f t="array" ref="G111">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H111" s="247" cm="1">
        <f t="array" ref="H111">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I111" s="247" cm="1">
        <f t="array" ref="I111">SUMPRODUCT(--(ISNUMBER(SEARCH("Sweden", 'Inventory - Public Private FMS'!$J$17:$J$1792))
* ISNUMBER(SEARCH("Private", 'Inventory - Public Private FMS'!$L$17:$L$1792))
* ((ISNUMBER(SEARCH("Eggs", 'Inventory - Public Private FMS'!$F$17:$F$1792)))
+ (ISNUMBER(SEARCH("All food commodities", 'Inventory - Public Private FMS'!$F$17:$F$1792))) &gt; 0)))</f>
        <v>0</v>
      </c>
      <c r="J111" s="247" cm="1">
        <f t="array" ref="J111">SUMPRODUCT(--(ISNUMBER(SEARCH("Sweden", 'Inventory - Public Private FMS'!$J$17:$J$1792))
* ISNUMBER(SEARCH("Private", 'Inventory - Public Private FMS'!$L$17:$L$1792))
* ((ISNUMBER(SEARCH("Fish", 'Inventory - Public Private FMS'!$F$17:$F$1792)))
+ (ISNUMBER(SEARCH("All food commodities", 'Inventory - Public Private FMS'!$F$17:$F$1792))) &gt; 0)))</f>
        <v>0</v>
      </c>
      <c r="K111" s="247" cm="1">
        <f t="array" ref="K111">SUMPRODUCT(--(ISNUMBER(SEARCH("Sweden", 'Inventory - Public Private FMS'!$J$17:$J$1792))
* ISNUMBER(SEARCH("Private", 'Inventory - Public Private FMS'!$L$17:$L$1792))
* ((ISNUMBER(SEARCH("Cereals", 'Inventory - Public Private FMS'!$F$17:$F$1792)))
+ (ISNUMBER(SEARCH("All food commodities", 'Inventory - Public Private FMS'!$F$17:$F$1792))) &gt; 0)))</f>
        <v>0</v>
      </c>
      <c r="L111" s="224"/>
      <c r="M111" s="247" cm="1">
        <f t="array" ref="M111">SUMPRODUCT(--(ISNUMBER(SEARCH("Sweden", 'Inventory - Public Private FMS'!$J$17:$J$1792))
* ISNUMBER(SEARCH("Private", 'Inventory - Public Private FMS'!$L$17:$L$1792))
* ((ISNUMBER(SEARCH("Primary Production", 'Inventory - Public Private FMS'!$N$17:$N$1792)))
+ (ISNUMBER(SEARCH("All Stages", 'Inventory - Public Private FMS'!$N$17:$N$1792))) &gt; 0)))</f>
        <v>0</v>
      </c>
      <c r="N111" s="247" cm="1">
        <f t="array" ref="N111">SUMPRODUCT(--(ISNUMBER(SEARCH("Sweden", 'Inventory - Public Private FMS'!$J$17:$J$1792))
* ISNUMBER(SEARCH("Private", 'Inventory - Public Private FMS'!$L$17:$L$1792))
* ((ISNUMBER(SEARCH("Processing &amp; Manufacturing", 'Inventory - Public Private FMS'!$N$17:$N$1792)))
+ (ISNUMBER(SEARCH("All Stages", 'Inventory - Public Private FMS'!$N$17:$N$1792))) &gt; 0)))</f>
        <v>0</v>
      </c>
      <c r="O111" s="247" cm="1">
        <f t="array" ref="O111">SUMPRODUCT(--(ISNUMBER(SEARCH("Sweden", 'Inventory - Public Private FMS'!$J$17:$J$1792))
* ISNUMBER(SEARCH("Private", 'Inventory - Public Private FMS'!$L$17:$L$1792))
* ((ISNUMBER(SEARCH("Retail", 'Inventory - Public Private FMS'!$N$17:$N$1792)))
+ (ISNUMBER(SEARCH("All Stages", 'Inventory - Public Private FMS'!$N$17:$N$1792))) &gt; 0)))</f>
        <v>0</v>
      </c>
      <c r="P111" s="247" cm="1">
        <f t="array" ref="P111">SUMPRODUCT(--(ISNUMBER(SEARCH("Sweden", 'Inventory - Public Private FMS'!$J$17:$J$1792))
* ISNUMBER(SEARCH("Private", 'Inventory - Public Private FMS'!$L$17:$L$1792))
* ((ISNUMBER(SEARCH("Food services", 'Inventory - Public Private FMS'!$N$17:$N$1792)))
+ (ISNUMBER(SEARCH("All Stages", 'Inventory - Public Private FMS'!$N$17:$N$1792))) &gt; 0)))</f>
        <v>0</v>
      </c>
      <c r="Q111" s="224"/>
      <c r="R111" s="246" cm="1">
        <f t="array" ref="R111">SUMPRODUCT(--(ISNUMBER(SEARCH("Sweden",'Inventory - Public Private FMS'!$J$17:$J$1792))
*(ISNUMBER(SEARCH("Private",'Inventory - Public Private FMS'!$L$17:$L$1792)))&gt;0))</f>
        <v>0</v>
      </c>
    </row>
    <row r="112" spans="2:18">
      <c r="B112" s="248"/>
      <c r="C112" s="249" t="s">
        <v>3941</v>
      </c>
      <c r="D112" s="246">
        <f t="shared" ref="D112:K112" si="26">SUM(D110:D111)</f>
        <v>3</v>
      </c>
      <c r="E112" s="246">
        <f t="shared" si="26"/>
        <v>0</v>
      </c>
      <c r="F112" s="246">
        <f t="shared" si="26"/>
        <v>0</v>
      </c>
      <c r="G112" s="246">
        <f t="shared" si="26"/>
        <v>1</v>
      </c>
      <c r="H112" s="246">
        <f t="shared" si="26"/>
        <v>1</v>
      </c>
      <c r="I112" s="246">
        <f t="shared" si="26"/>
        <v>0</v>
      </c>
      <c r="J112" s="246">
        <f t="shared" si="26"/>
        <v>2</v>
      </c>
      <c r="K112" s="246">
        <f t="shared" si="26"/>
        <v>1</v>
      </c>
      <c r="L112" s="224"/>
      <c r="M112" s="246">
        <f>SUM(M110:M111)</f>
        <v>7</v>
      </c>
      <c r="N112" s="246">
        <f>SUM(N110:N111)</f>
        <v>7</v>
      </c>
      <c r="O112" s="246">
        <f>SUM(O110:O111)</f>
        <v>0</v>
      </c>
      <c r="P112" s="246">
        <f>SUM(P110:P111)</f>
        <v>0</v>
      </c>
      <c r="Q112" s="224"/>
      <c r="R112" s="246">
        <f>SUM(R110:R111)</f>
        <v>7</v>
      </c>
    </row>
    <row r="113" spans="2:18" s="220" customFormat="1" ht="47.45" customHeight="1">
      <c r="B113" s="257" t="s">
        <v>3948</v>
      </c>
      <c r="C113" s="95"/>
      <c r="D113" s="224" cm="1">
        <f t="array" ref="D113">SUMPRODUCT(
    --(
        (ISNUMBER(SEARCH("Austria", 'Inventory - Public Private FMS'!$J$17:$J$1792)) +
        ISNUMBER(SEARCH("Germany", 'Inventory - Public Private FMS'!$J$17:$J$1792)) +
        ISNUMBER(SEARCH("Belgium", 'Inventory - Public Private FMS'!$J$17:$J$1792)) +
        ISNUMBER(SEARCH("Bulgaria", 'Inventory - Public Private FMS'!$J$17:$J$1792)) +
        ISNUMBER(SEARCH("Croatia", 'Inventory - Public Private FMS'!$J$17:$J$1792)) +
        ISNUMBER(SEARCH("Cyprus", 'Inventory - Public Private FMS'!$J$17:$J$1792)) +
        ISNUMBER(SEARCH("Czechia", 'Inventory - Public Private FMS'!$J$17:$J$1792)) +
        ISNUMBER(SEARCH("Denmark", 'Inventory - Public Private FMS'!$J$17:$J$1792)) +
        ISNUMBER(SEARCH("Estonia", 'Inventory - Public Private FMS'!$J$17:$J$1792)) +
        ISNUMBER(SEARCH("Finland", 'Inventory - Public Private FMS'!$J$17:$J$1792)) +
        ISNUMBER(SEARCH("France", 'Inventory - Public Private FMS'!$J$17:$J$1792)) +
        ISNUMBER(SEARCH("Greece", 'Inventory - Public Private FMS'!$J$17:$J$1792)) +
        ISNUMBER(SEARCH("Hungary", 'Inventory - Public Private FMS'!$J$17:$J$1792)) +
        ISNUMBER(SEARCH("Ireland", 'Inventory - Public Private FMS'!$J$17:$J$1792)) +
        ISNUMBER(SEARCH("Italy", 'Inventory - Public Private FMS'!$J$17:$J$1792)) +
        ISNUMBER(SEARCH("Latvia", 'Inventory - Public Private FMS'!$J$17:$J$1792)) +
        ISNUMBER(SEARCH("Lithuania", 'Inventory - Public Private FMS'!$J$17:$J$1792)) +
        ISNUMBER(SEARCH("Luxembourg", 'Inventory - Public Private FMS'!$J$17:$J$1792)) +
        ISNUMBER(SEARCH("Malta", 'Inventory - Public Private FMS'!$J$17:$J$1792)) +
        ISNUMBER(SEARCH("Netherlands", 'Inventory - Public Private FMS'!$J$17:$J$1792)) +
        ISNUMBER(SEARCH("Poland", 'Inventory - Public Private FMS'!$J$17:$J$1792)) +
        ISNUMBER(SEARCH("Portugal", 'Inventory - Public Private FMS'!$J$17:$J$1792)) +
        ISNUMBER(SEARCH("Romania", 'Inventory - Public Private FMS'!$J$17:$J$1792)) +
        ISNUMBER(SEARCH("Slovakia", 'Inventory - Public Private FMS'!$J$17:$J$1792)) +
        ISNUMBER(SEARCH("Slovenia", 'Inventory - Public Private FMS'!$J$17:$J$1792)) +
        ISNUMBER(SEARCH("Spain", 'Inventory - Public Private FMS'!$J$17:$J$1792)) +
        ISNUMBER(SEARCH("Sweden", 'Inventory - Public Private FMS'!$J$17:$J$1792))
        ) &gt; 0
    ),
    --(
        (ISNUMBER(SEARCH("Fruits", 'Inventory - Public Private FMS'!$F$17:$F$1792)) +
        ISNUMBER(SEARCH("Vegetables", 'Inventory - Public Private FMS'!$F$17:$F$1792)) +
        ISNUMBER(SEARCH("All food commodities", 'Inventory - Public Private FMS'!$F$17:$F$1792))) &gt; 0
    )
)</f>
        <v>480</v>
      </c>
      <c r="E113" s="247" cm="1">
        <f t="array" ref="E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
(ISNUMBER(SEARCH("Meat",'Inventory - Public Private FMS'!$F$17:$F$1792))+
(ISNUMBER(SEARCH("All food commodities",'Inventory - Public Private FMS'!$F$17:$F$1792))+
(ISNUMBER(SEARCH("livestock",'Inventory - Public Private FMS'!$F$17:$F$1792))+
(ISNUMBER(SEARCH("Bovine",'Inventory - Public Private FMS'!$F$17:$F$1792)))&gt;0
)
))))</f>
        <v>162</v>
      </c>
      <c r="F113" s="247" cm="1">
        <f t="array" ref="F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
        (ISNUMBER(SEARCH("Meat",'Inventory - Public Private FMS'!$F$17:$F$1792))
        +(ISNUMBER(SEARCH("All food commodities",'Inventory - Public Private FMS'!$F$17:$F$1792))
        +(ISNUMBER(SEARCH("livestock",'Inventory - Public Private FMS'!$F$17:$F$1792))
        +(ISNUMBER(SEARCH("Pork",'Inventory - Public Private FMS'!$F$17:$F$1792)))&gt;0
)
))))</f>
        <v>190</v>
      </c>
      <c r="G113" s="247" cm="1">
        <f t="array" ref="G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
        (ISNUMBER(SEARCH("Meat",'Inventory - Public Private FMS'!$F$17:$F$1792))
        +(ISNUMBER(SEARCH("All food commodities",'Inventory - Public Private FMS'!$F$17:$F$1792))
        +(ISNUMBER(SEARCH("livestock",'Inventory - Public Private FMS'!$F$17:$F$1792))
        +(ISNUMBER(SEARCH("Poultry",'Inventory - Public Private FMS'!$F$17:$F$1792)))&gt;0
)
))))</f>
        <v>325</v>
      </c>
      <c r="H113" s="247" cm="1">
        <f t="array" ref="H113">SUMPRODUCT(
    --(
        (ISNUMBER(SEARCH("Austria", 'Inventory - Public Private FMS'!$J$17:$J$1792))
        + ISNUMBER(SEARCH("Germany", 'Inventory - Public Private FMS'!$J$17:$J$1792))
        + ISNUMBER(SEARCH("Belgium", 'Inventory - Public Private FMS'!$J$17:$J$1792))
        + ISNUMBER(SEARCH("Bulgaria", 'Inventory - Public Private FMS'!$J$17:$J$1792))
        + ISNUMBER(SEARCH("Croatia", 'Inventory - Public Private FMS'!$J$17:$J$1792))
        + ISNUMBER(SEARCH("Cyprus", 'Inventory - Public Private FMS'!$J$17:$J$1792))
        + ISNUMBER(SEARCH("Czechia", 'Inventory - Public Private FMS'!$J$17:$J$1792))
        + ISNUMBER(SEARCH("Denmark", 'Inventory - Public Private FMS'!$J$17:$J$1792))
        + ISNUMBER(SEARCH("Estonia", 'Inventory - Public Private FMS'!$J$17:$J$1792))
        + ISNUMBER(SEARCH("Finland", 'Inventory - Public Private FMS'!$J$17:$J$1792))
        + ISNUMBER(SEARCH("France", 'Inventory - Public Private FMS'!$J$17:$J$1792))
        + ISNUMBER(SEARCH("Greece", 'Inventory - Public Private FMS'!$J$17:$J$1792))
        + ISNUMBER(SEARCH("Hungary", 'Inventory - Public Private FMS'!$J$17:$J$1792))
        + ISNUMBER(SEARCH("Ireland", 'Inventory - Public Private FMS'!$J$17:$J$1792))
        + ISNUMBER(SEARCH("Italy", 'Inventory - Public Private FMS'!$J$17:$J$1792))
        + ISNUMBER(SEARCH("Latvia", 'Inventory - Public Private FMS'!$J$17:$J$1792))
        + ISNUMBER(SEARCH("Lithuania", 'Inventory - Public Private FMS'!$J$17:$J$1792))
        + ISNUMBER(SEARCH("Luxembourg", 'Inventory - Public Private FMS'!$J$17:$J$1792))
        + ISNUMBER(SEARCH("Malta", 'Inventory - Public Private FMS'!$J$17:$J$1792))
        + ISNUMBER(SEARCH("Netherlands", 'Inventory - Public Private FMS'!$J$17:$J$1792))
        + ISNUMBER(SEARCH("Poland", 'Inventory - Public Private FMS'!$J$17:$J$1792))
        + ISNUMBER(SEARCH("Portugal", 'Inventory - Public Private FMS'!$J$17:$J$1792))
        + ISNUMBER(SEARCH("Romania", 'Inventory - Public Private FMS'!$J$17:$J$1792))
        + ISNUMBER(SEARCH("Slovakia", 'Inventory - Public Private FMS'!$J$17:$J$1792))
        + ISNUMBER(SEARCH("Slovenia", 'Inventory - Public Private FMS'!$J$17:$J$1792))
        + ISNUMBER(SEARCH("Spain", 'Inventory - Public Private FMS'!$J$17:$J$1792))
        + ISNUMBER(SEARCH("Sweden", 'Inventory - Public Private FMS'!$J$17:$J$1792))) &gt; 0
    ),
    --(
        (ISNUMBER(SEARCH("Meat", 'Inventory - Public Private FMS'!$F$17:$F$1792))
        + ISNUMBER(SEARCH("All food commodities", 'Inventory - Public Private FMS'!$F$17:$F$1792))
        + ISNUMBER(SEARCH("livestock", 'Inventory - Public Private FMS'!$F$17:$F$1792))
        + ISNUMBER(SEARCH("Poultry", 'Inventory - Public Private FMS'!$F$17:$F$1792))
        + ISNUMBER(SEARCH("Bovine", 'Inventory - Public Private FMS'!$F$17:$F$1792))
        + ISNUMBER(SEARCH("Pork", 'Inventory - Public Private FMS'!$F$17:$F$1792))) &gt; 0
    )
)</f>
        <v>548</v>
      </c>
      <c r="I113" s="247" cm="1">
        <f t="array" ref="I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--(ISNUMBER(SEARCH("Eggs",'Inventory - Public Private FMS'!$F$17:$F$1792))
+(ISNUMBER(SEARCH("All food commodities",'Inventory - Public Private FMS'!$F$17:$F$1792)))&gt;0
)
)</f>
        <v>73</v>
      </c>
      <c r="J113" s="247" cm="1">
        <f t="array" ref="J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--(ISNUMBER(SEARCH("Fish",'Inventory - Public Private FMS'!$F$17:$F$1792))
+(ISNUMBER(SEARCH("All food commodities",'Inventory - Public Private FMS'!$F$17:$F$1792))
+(ISNUMBER(SEARCH("Aquaculture",'Inventory - Public Private FMS'!$F$17:$F$1792)))&gt;0
)
))</f>
        <v>118</v>
      </c>
      <c r="K113" s="247" cm="1">
        <f t="array" ref="K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--(ISNUMBER(SEARCH("Cereals",'Inventory - Public Private FMS'!$F$17:$F$1792))
+(ISNUMBER(SEARCH("All food commodities",'Inventory - Public Private FMS'!$F$17:$F$1792)))&gt;0
)
)</f>
        <v>114</v>
      </c>
      <c r="L113" s="224"/>
      <c r="M113" s="247" cm="1">
        <f t="array" ref="M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--(ISNUMBER(SEARCH("Primary Production",'Inventory - Public Private FMS'!$N$17:$N$1792))
+(ISNUMBER(SEARCH("All stages",'Inventory - Public Private FMS'!$N$17:$N$1792)))&gt;0
)
)</f>
        <v>992</v>
      </c>
      <c r="N113" s="247" cm="1">
        <f t="array" ref="N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--(ISNUMBER(SEARCH("Processing &amp; Manufacturing",'Inventory - Public Private FMS'!$N$17:$N$1792))
        +(ISNUMBER(SEARCH("All stages",'Inventory - Public Private FMS'!$N$17:$N$1792)))&gt;0
)
)</f>
        <v>1010</v>
      </c>
      <c r="O113" s="247" cm="1">
        <f t="array" ref="O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--(ISNUMBER(SEARCH("Retail",'Inventory - Public Private FMS'!$N$17:$N$1792))
        +(ISNUMBER(SEARCH("All stages",'Inventory - Public Private FMS'!$N$17:$N$1792)))&gt;0
)
)</f>
        <v>423</v>
      </c>
      <c r="P113" s="247" cm="1">
        <f t="array" ref="P113">SUMPRODUCT(
--(
(ISNUMBER(SEARCH("Austria",'Inventory - Public Private FMS'!$J$17:$J$1792))+
ISNUMBER(SEARCH("Germany",'Inventory - Public Private FMS'!$J$17:$J$1792))+
ISNUMBER(SEARCH("Belgium",'Inventory - Public Private FMS'!$J$17:$J$1792))+
ISNUMBER(SEARCH("Bulgaria",'Inventory - Public Private FMS'!$J$17:$J$1792))+
ISNUMBER(SEARCH("Croatia",'Inventory - Public Private FMS'!$J$17:$J$1792))+
ISNUMBER(SEARCH("Cyprus",'Inventory - Public Private FMS'!$J$17:$J$1792))+
ISNUMBER(SEARCH("Czechia",'Inventory - Public Private FMS'!$J$17:$J$1792))+
ISNUMBER(SEARCH("Denmark",'Inventory - Public Private FMS'!$J$17:$J$1792))+
ISNUMBER(SEARCH("Estonia",'Inventory - Public Private FMS'!$J$17:$J$1792))+
ISNUMBER(SEARCH("Finland",'Inventory - Public Private FMS'!$J$17:$J$1792))+
ISNUMBER(SEARCH("France",'Inventory - Public Private FMS'!$J$17:$J$1792))+
ISNUMBER(SEARCH("Greece",'Inventory - Public Private FMS'!$J$17:$J$1792))+
ISNUMBER(SEARCH("Hungary",'Inventory - Public Private FMS'!$J$17:$J$1792))+
ISNUMBER(SEARCH("Ireland",'Inventory - Public Private FMS'!$J$17:$J$1792))+
ISNUMBER(SEARCH("Italy",'Inventory - Public Private FMS'!$J$17:$J$1792))+
ISNUMBER(SEARCH("Latvia",'Inventory - Public Private FMS'!$J$17:$J$1792))+
ISNUMBER(SEARCH("Lithuania",'Inventory - Public Private FMS'!$J$17:$J$1792))+
ISNUMBER(SEARCH("Luxembourg",'Inventory - Public Private FMS'!$J$17:$J$1792))+
ISNUMBER(SEARCH("Malta",'Inventory - Public Private FMS'!$J$17:$J$1792))+
ISNUMBER(SEARCH("Netherlands",'Inventory - Public Private FMS'!$J$17:$J$1792))+
ISNUMBER(SEARCH("Poland",'Inventory - Public Private FMS'!$J$17:$J$1792))+
ISNUMBER(SEARCH("Portugal",'Inventory - Public Private FMS'!$J$17:$J$1792))+
ISNUMBER(SEARCH("Romania",'Inventory - Public Private FMS'!$J$17:$J$1792))+
ISNUMBER(SEARCH("Slovakia",'Inventory - Public Private FMS'!$J$17:$J$1792))+
ISNUMBER(SEARCH("Slovenia",'Inventory - Public Private FMS'!$J$17:$J$1792))+
ISNUMBER(SEARCH("Spain",'Inventory - Public Private FMS'!$J$17:$J$1792))+
ISNUMBER(SEARCH("Sweden",'Inventory - Public Private FMS'!$J$17:$J$1792))
)&gt;0
),
--(ISNUMBER(SEARCH("Food services",'Inventory - Public Private FMS'!$N$17:$N$1792))
+(ISNUMBER(SEARCH("All stages",'Inventory - Public Private FMS'!$N$17:$N$1792)))&gt;0
)
)</f>
        <v>350</v>
      </c>
      <c r="Q113" s="224"/>
      <c r="R113" s="247" cm="1">
        <f t="array" ref="R113">SUMPRODUCT(
    --(
        (ISNUMBER(SEARCH("Austria", 'Inventory - Public Private FMS'!$J$17:$J$1792))
        + ISNUMBER(SEARCH("Germany", 'Inventory - Public Private FMS'!$J$17:$J$1792))
        + ISNUMBER(SEARCH("Belgium", 'Inventory - Public Private FMS'!$J$17:$J$1792))
        + ISNUMBER(SEARCH("Bulgaria", 'Inventory - Public Private FMS'!$J$17:$J$1792))
        + ISNUMBER(SEARCH("Croatia", 'Inventory - Public Private FMS'!$J$17:$J$1792))
        + ISNUMBER(SEARCH("Cyprus", 'Inventory - Public Private FMS'!$J$17:$J$1792))
        + ISNUMBER(SEARCH("Czechia", 'Inventory - Public Private FMS'!$J$17:$J$1792))
        + ISNUMBER(SEARCH("Denmark", 'Inventory - Public Private FMS'!$J$17:$J$1792))
        + ISNUMBER(SEARCH("Estonia", 'Inventory - Public Private FMS'!$J$17:$J$1792))
        + ISNUMBER(SEARCH("Finland", 'Inventory - Public Private FMS'!$J$17:$J$1792))
        + ISNUMBER(SEARCH("France", 'Inventory - Public Private FMS'!$J$17:$J$1792))
        + ISNUMBER(SEARCH("Greece", 'Inventory - Public Private FMS'!$J$17:$J$1792))
        + ISNUMBER(SEARCH("Hungary", 'Inventory - Public Private FMS'!$J$17:$J$1792))
        + ISNUMBER(SEARCH("Ireland", 'Inventory - Public Private FMS'!$J$17:$J$1792))
        + ISNUMBER(SEARCH("Italy", 'Inventory - Public Private FMS'!$J$17:$J$1792))
        + ISNUMBER(SEARCH("Latvia", 'Inventory - Public Private FMS'!$J$17:$J$1792))
        + ISNUMBER(SEARCH("Lithuania", 'Inventory - Public Private FMS'!$J$17:$J$1792))
        + ISNUMBER(SEARCH("Luxembourg", 'Inventory - Public Private FMS'!$J$17:$J$1792))
        + ISNUMBER(SEARCH("Malta", 'Inventory - Public Private FMS'!$J$17:$J$1792))
        + ISNUMBER(SEARCH("Netherlands", 'Inventory - Public Private FMS'!$J$17:$J$1792))
        + ISNUMBER(SEARCH("Poland", 'Inventory - Public Private FMS'!$J$17:$J$1792))
        + ISNUMBER(SEARCH("Portugal", 'Inventory - Public Private FMS'!$J$17:$J$1792))
        + ISNUMBER(SEARCH("Romania", 'Inventory - Public Private FMS'!$J$17:$J$1792))
        + ISNUMBER(SEARCH("Slovakia", 'Inventory - Public Private FMS'!$J$17:$J$1792))
        + ISNUMBER(SEARCH("Slovenia", 'Inventory - Public Private FMS'!$J$17:$J$1792))
        + ISNUMBER(SEARCH("Spain", 'Inventory - Public Private FMS'!$J$17:$J$1792))
        + ISNUMBER(SEARCH("Sweden", 'Inventory - Public Private FMS'!$J$17:$J$1792))
        ) &gt; 0
    )
)</f>
        <v>1129</v>
      </c>
    </row>
    <row r="114" spans="2:18" s="220" customFormat="1" ht="58.35" customHeight="1">
      <c r="B114" s="258" t="s">
        <v>3949</v>
      </c>
      <c r="C114" s="95"/>
      <c r="D114" s="247">
        <f>D113+[2]General!C23</f>
        <v>500</v>
      </c>
      <c r="E114" s="247">
        <f>E113+[2]General!D23</f>
        <v>183</v>
      </c>
      <c r="F114" s="247">
        <f>F113+[2]General!E23</f>
        <v>208</v>
      </c>
      <c r="G114" s="247">
        <f>G113+[2]General!F23</f>
        <v>344</v>
      </c>
      <c r="H114" s="247">
        <f>H113+[2]General!G23</f>
        <v>571</v>
      </c>
      <c r="I114" s="247">
        <f>I113+[2]General!H23</f>
        <v>91</v>
      </c>
      <c r="J114" s="247">
        <f>J113+[2]General!I23</f>
        <v>140</v>
      </c>
      <c r="K114" s="247">
        <f>K113+[2]General!J23</f>
        <v>131</v>
      </c>
      <c r="L114" s="224"/>
      <c r="M114" s="247">
        <f>M113+[2]General!L23</f>
        <v>1018</v>
      </c>
      <c r="N114" s="247">
        <f>N113+[2]General!M23</f>
        <v>1031</v>
      </c>
      <c r="O114" s="247">
        <f>O113+[2]General!N23</f>
        <v>441</v>
      </c>
      <c r="P114" s="247">
        <f>P113+[2]General!O23</f>
        <v>355</v>
      </c>
      <c r="Q114" s="224"/>
      <c r="R114" s="247" cm="1">
        <f t="array" ref="R114">SUMPRODUCT(
    --(
        (ISNUMBER(SEARCH("Austria", 'Inventory - Public Private FMS'!$J$17:$J$1792))
        + ISNUMBER(SEARCH("Germany", 'Inventory - Public Private FMS'!$J$17:$J$1792))
        + ISNUMBER(SEARCH("Belgium", 'Inventory - Public Private FMS'!$J$17:$J$1792))
        + ISNUMBER(SEARCH("Bulgaria", 'Inventory - Public Private FMS'!$J$17:$J$1792))
        + ISNUMBER(SEARCH("Croatia", 'Inventory - Public Private FMS'!$J$17:$J$1792))
        + ISNUMBER(SEARCH("Cyprus", 'Inventory - Public Private FMS'!$J$17:$J$1792))
        + ISNUMBER(SEARCH("Czechia", 'Inventory - Public Private FMS'!$J$17:$J$1792))
        + ISNUMBER(SEARCH("Denmark", 'Inventory - Public Private FMS'!$J$17:$J$1792))
        + ISNUMBER(SEARCH("Estonia", 'Inventory - Public Private FMS'!$J$17:$J$1792))
        + ISNUMBER(SEARCH("Finland", 'Inventory - Public Private FMS'!$J$17:$J$1792))
        + ISNUMBER(SEARCH("France", 'Inventory - Public Private FMS'!$J$17:$J$1792))
        + ISNUMBER(SEARCH("Greece", 'Inventory - Public Private FMS'!$J$17:$J$1792))
        + ISNUMBER(SEARCH("Hungary", 'Inventory - Public Private FMS'!$J$17:$J$1792))
        + ISNUMBER(SEARCH("Ireland", 'Inventory - Public Private FMS'!$J$17:$J$1792))
        + ISNUMBER(SEARCH("Italy", 'Inventory - Public Private FMS'!$J$17:$J$1792))
        + ISNUMBER(SEARCH("Latvia", 'Inventory - Public Private FMS'!$J$17:$J$1792))
        + ISNUMBER(SEARCH("Lithuania", 'Inventory - Public Private FMS'!$J$17:$J$1792))
        + ISNUMBER(SEARCH("Luxembourg", 'Inventory - Public Private FMS'!$J$17:$J$1792))
        + ISNUMBER(SEARCH("Malta", 'Inventory - Public Private FMS'!$J$17:$J$1792))
        + ISNUMBER(SEARCH("Netherlands", 'Inventory - Public Private FMS'!$J$17:$J$1792))
        + ISNUMBER(SEARCH("Poland", 'Inventory - Public Private FMS'!$J$17:$J$1792))
        + ISNUMBER(SEARCH("Portugal", 'Inventory - Public Private FMS'!$J$17:$J$1792))
        + ISNUMBER(SEARCH("Romania", 'Inventory - Public Private FMS'!$J$17:$J$1792))
        + ISNUMBER(SEARCH("Slovakia", 'Inventory - Public Private FMS'!$J$17:$J$1792))
        + ISNUMBER(SEARCH("Slovenia", 'Inventory - Public Private FMS'!$J$17:$J$1792))
        + ISNUMBER(SEARCH("Spain", 'Inventory - Public Private FMS'!$J$17:$J$1792))
        + ISNUMBER(SEARCH("Sweden", 'Inventory - Public Private FMS'!$J$17:$J$1792))
        ) &gt; 0
    )
)</f>
        <v>1129</v>
      </c>
    </row>
    <row r="115" spans="2:18" s="220" customFormat="1" ht="58.35" customHeight="1">
      <c r="B115" s="258" t="s">
        <v>3950</v>
      </c>
      <c r="C115" s="95"/>
      <c r="D115" s="247">
        <f>D113+[2]General!C6</f>
        <v>632</v>
      </c>
      <c r="E115" s="247">
        <f>E113+[2]General!D6</f>
        <v>206</v>
      </c>
      <c r="F115" s="247">
        <f>F113+[2]General!E6</f>
        <v>231</v>
      </c>
      <c r="G115" s="247">
        <f>G113+[2]General!F6</f>
        <v>366</v>
      </c>
      <c r="H115" s="247">
        <f>H113+[2]General!G6</f>
        <v>594</v>
      </c>
      <c r="I115" s="247">
        <f>I113+[2]General!H6</f>
        <v>111</v>
      </c>
      <c r="J115" s="247">
        <f>J113+[2]General!I6</f>
        <v>181</v>
      </c>
      <c r="K115" s="247">
        <f>K113+[2]General!J6</f>
        <v>168</v>
      </c>
      <c r="L115" s="224"/>
      <c r="M115" s="247">
        <f>M113+[2]General!L6</f>
        <v>1097</v>
      </c>
      <c r="N115" s="247">
        <f>N113+[2]General!M6</f>
        <v>1138</v>
      </c>
      <c r="O115" s="247">
        <f>O113+[2]General!N6</f>
        <v>546</v>
      </c>
      <c r="P115" s="247">
        <f>P113+[2]General!O6</f>
        <v>363</v>
      </c>
      <c r="Q115" s="224"/>
      <c r="R115" s="212">
        <f>ROWS('[2]Reporting Template T1.3'!$L$17:$L$1792)</f>
        <v>1776</v>
      </c>
    </row>
  </sheetData>
  <autoFilter ref="A4:R115" xr:uid="{7D7B7891-E7B7-4899-A3F0-BF4735AC3BB9}"/>
  <mergeCells count="13">
    <mergeCell ref="R2:R4"/>
    <mergeCell ref="D3:D4"/>
    <mergeCell ref="E3:G3"/>
    <mergeCell ref="H3:H4"/>
    <mergeCell ref="I3:I4"/>
    <mergeCell ref="J3:J4"/>
    <mergeCell ref="K3:K4"/>
    <mergeCell ref="M3:M4"/>
    <mergeCell ref="N3:N4"/>
    <mergeCell ref="O3:O4"/>
    <mergeCell ref="P3:P4"/>
    <mergeCell ref="D2:K2"/>
    <mergeCell ref="M2:P2"/>
  </mergeCells>
  <conditionalFormatting sqref="D8:K8 M8:P8 M12:P12 M16:P16 M20:P20 M24:P24 M28:P28 M32:P32 M36:P36 M40:P40 M44:P44 M48:P48 M52:P52 M56:P56 M60:P60 M64:P64 M68:P68 M72:P72 M76:P76 M80:P80 M84:P84 M88:P88 M92:P92 M96:P96 M100:P100 M104:P104 M108:P108 M112:P112">
    <cfRule type="cellIs" dxfId="107" priority="162" operator="equal">
      <formula>D5</formula>
    </cfRule>
    <cfRule type="cellIs" dxfId="106" priority="161" operator="notEqual">
      <formula>D5</formula>
    </cfRule>
  </conditionalFormatting>
  <conditionalFormatting sqref="D12:K12">
    <cfRule type="cellIs" dxfId="105" priority="156" operator="equal">
      <formula>D9</formula>
    </cfRule>
    <cfRule type="cellIs" dxfId="104" priority="155" operator="notEqual">
      <formula>D9</formula>
    </cfRule>
  </conditionalFormatting>
  <conditionalFormatting sqref="D16:K16">
    <cfRule type="cellIs" dxfId="103" priority="150" operator="equal">
      <formula>D13</formula>
    </cfRule>
    <cfRule type="cellIs" dxfId="102" priority="149" operator="notEqual">
      <formula>D13</formula>
    </cfRule>
  </conditionalFormatting>
  <conditionalFormatting sqref="D20:K20">
    <cfRule type="cellIs" dxfId="101" priority="144" operator="equal">
      <formula>D17</formula>
    </cfRule>
    <cfRule type="cellIs" dxfId="100" priority="143" operator="notEqual">
      <formula>D17</formula>
    </cfRule>
  </conditionalFormatting>
  <conditionalFormatting sqref="D24:K24">
    <cfRule type="cellIs" dxfId="99" priority="138" operator="equal">
      <formula>D21</formula>
    </cfRule>
    <cfRule type="cellIs" dxfId="98" priority="137" operator="notEqual">
      <formula>D21</formula>
    </cfRule>
  </conditionalFormatting>
  <conditionalFormatting sqref="D28:K28">
    <cfRule type="cellIs" dxfId="97" priority="132" operator="equal">
      <formula>D25</formula>
    </cfRule>
    <cfRule type="cellIs" dxfId="96" priority="131" operator="notEqual">
      <formula>D25</formula>
    </cfRule>
  </conditionalFormatting>
  <conditionalFormatting sqref="D32:K32">
    <cfRule type="cellIs" dxfId="95" priority="126" operator="equal">
      <formula>D29</formula>
    </cfRule>
    <cfRule type="cellIs" dxfId="94" priority="125" operator="notEqual">
      <formula>D29</formula>
    </cfRule>
  </conditionalFormatting>
  <conditionalFormatting sqref="D36:K36">
    <cfRule type="cellIs" dxfId="93" priority="120" operator="equal">
      <formula>D33</formula>
    </cfRule>
    <cfRule type="cellIs" dxfId="92" priority="119" operator="notEqual">
      <formula>D33</formula>
    </cfRule>
  </conditionalFormatting>
  <conditionalFormatting sqref="D40:K40">
    <cfRule type="cellIs" dxfId="91" priority="114" operator="equal">
      <formula>D37</formula>
    </cfRule>
    <cfRule type="cellIs" dxfId="90" priority="113" operator="notEqual">
      <formula>D37</formula>
    </cfRule>
  </conditionalFormatting>
  <conditionalFormatting sqref="D44:K44">
    <cfRule type="cellIs" dxfId="89" priority="108" operator="equal">
      <formula>D41</formula>
    </cfRule>
    <cfRule type="cellIs" dxfId="88" priority="107" operator="notEqual">
      <formula>D41</formula>
    </cfRule>
  </conditionalFormatting>
  <conditionalFormatting sqref="D48:K48">
    <cfRule type="cellIs" dxfId="87" priority="102" operator="equal">
      <formula>D45</formula>
    </cfRule>
    <cfRule type="cellIs" dxfId="86" priority="101" operator="notEqual">
      <formula>D45</formula>
    </cfRule>
  </conditionalFormatting>
  <conditionalFormatting sqref="D52:K52">
    <cfRule type="cellIs" dxfId="85" priority="96" operator="equal">
      <formula>D49</formula>
    </cfRule>
    <cfRule type="cellIs" dxfId="84" priority="95" operator="notEqual">
      <formula>D49</formula>
    </cfRule>
  </conditionalFormatting>
  <conditionalFormatting sqref="D56:K56">
    <cfRule type="cellIs" dxfId="83" priority="90" operator="equal">
      <formula>D53</formula>
    </cfRule>
    <cfRule type="cellIs" dxfId="82" priority="89" operator="notEqual">
      <formula>D53</formula>
    </cfRule>
  </conditionalFormatting>
  <conditionalFormatting sqref="D60:K60">
    <cfRule type="cellIs" dxfId="81" priority="83" operator="notEqual">
      <formula>D57</formula>
    </cfRule>
    <cfRule type="cellIs" dxfId="80" priority="84" operator="equal">
      <formula>D57</formula>
    </cfRule>
  </conditionalFormatting>
  <conditionalFormatting sqref="D64:K64">
    <cfRule type="cellIs" dxfId="79" priority="77" operator="notEqual">
      <formula>D61</formula>
    </cfRule>
    <cfRule type="cellIs" dxfId="78" priority="78" operator="equal">
      <formula>D61</formula>
    </cfRule>
  </conditionalFormatting>
  <conditionalFormatting sqref="D68:K68">
    <cfRule type="cellIs" dxfId="77" priority="71" operator="notEqual">
      <formula>D65</formula>
    </cfRule>
    <cfRule type="cellIs" dxfId="76" priority="72" operator="equal">
      <formula>D65</formula>
    </cfRule>
  </conditionalFormatting>
  <conditionalFormatting sqref="D72:K72">
    <cfRule type="cellIs" dxfId="75" priority="66" operator="equal">
      <formula>D69</formula>
    </cfRule>
    <cfRule type="cellIs" dxfId="74" priority="65" operator="notEqual">
      <formula>D69</formula>
    </cfRule>
  </conditionalFormatting>
  <conditionalFormatting sqref="D76:K76">
    <cfRule type="cellIs" dxfId="73" priority="59" operator="notEqual">
      <formula>D73</formula>
    </cfRule>
    <cfRule type="cellIs" dxfId="72" priority="60" operator="equal">
      <formula>D73</formula>
    </cfRule>
  </conditionalFormatting>
  <conditionalFormatting sqref="D80:K80">
    <cfRule type="cellIs" dxfId="71" priority="54" operator="equal">
      <formula>D77</formula>
    </cfRule>
    <cfRule type="cellIs" dxfId="70" priority="53" operator="notEqual">
      <formula>D77</formula>
    </cfRule>
  </conditionalFormatting>
  <conditionalFormatting sqref="D84:K84">
    <cfRule type="cellIs" dxfId="69" priority="47" operator="notEqual">
      <formula>D81</formula>
    </cfRule>
    <cfRule type="cellIs" dxfId="68" priority="48" operator="equal">
      <formula>D81</formula>
    </cfRule>
  </conditionalFormatting>
  <conditionalFormatting sqref="D88:K88">
    <cfRule type="cellIs" dxfId="67" priority="42" operator="equal">
      <formula>D85</formula>
    </cfRule>
    <cfRule type="cellIs" dxfId="66" priority="41" operator="notEqual">
      <formula>D85</formula>
    </cfRule>
  </conditionalFormatting>
  <conditionalFormatting sqref="D92:K92">
    <cfRule type="cellIs" dxfId="65" priority="35" operator="notEqual">
      <formula>D89</formula>
    </cfRule>
    <cfRule type="cellIs" dxfId="64" priority="36" operator="equal">
      <formula>D89</formula>
    </cfRule>
  </conditionalFormatting>
  <conditionalFormatting sqref="D96:K96">
    <cfRule type="cellIs" dxfId="63" priority="29" operator="notEqual">
      <formula>D93</formula>
    </cfRule>
    <cfRule type="cellIs" dxfId="62" priority="30" operator="equal">
      <formula>D93</formula>
    </cfRule>
  </conditionalFormatting>
  <conditionalFormatting sqref="D100:K100">
    <cfRule type="cellIs" dxfId="61" priority="23" operator="notEqual">
      <formula>D97</formula>
    </cfRule>
    <cfRule type="cellIs" dxfId="60" priority="24" operator="equal">
      <formula>D97</formula>
    </cfRule>
  </conditionalFormatting>
  <conditionalFormatting sqref="D104:K104">
    <cfRule type="cellIs" dxfId="59" priority="18" operator="equal">
      <formula>D101</formula>
    </cfRule>
    <cfRule type="cellIs" dxfId="58" priority="17" operator="notEqual">
      <formula>D101</formula>
    </cfRule>
  </conditionalFormatting>
  <conditionalFormatting sqref="D108:K108">
    <cfRule type="cellIs" dxfId="57" priority="11" operator="notEqual">
      <formula>D105</formula>
    </cfRule>
    <cfRule type="cellIs" dxfId="56" priority="12" operator="equal">
      <formula>D105</formula>
    </cfRule>
  </conditionalFormatting>
  <conditionalFormatting sqref="D112:K112">
    <cfRule type="cellIs" dxfId="55" priority="6" operator="equal">
      <formula>D109</formula>
    </cfRule>
    <cfRule type="cellIs" dxfId="54" priority="5" operator="notEqual">
      <formula>D109</formula>
    </cfRule>
  </conditionalFormatting>
  <conditionalFormatting sqref="R8">
    <cfRule type="cellIs" dxfId="53" priority="158" operator="equal">
      <formula>R5</formula>
    </cfRule>
    <cfRule type="cellIs" dxfId="52" priority="157" operator="notEqual">
      <formula>R5</formula>
    </cfRule>
  </conditionalFormatting>
  <conditionalFormatting sqref="R12">
    <cfRule type="cellIs" dxfId="51" priority="151" operator="notEqual">
      <formula>R9</formula>
    </cfRule>
    <cfRule type="cellIs" dxfId="50" priority="152" operator="equal">
      <formula>R9</formula>
    </cfRule>
  </conditionalFormatting>
  <conditionalFormatting sqref="R16">
    <cfRule type="cellIs" dxfId="49" priority="145" operator="notEqual">
      <formula>R13</formula>
    </cfRule>
    <cfRule type="cellIs" dxfId="48" priority="146" operator="equal">
      <formula>R13</formula>
    </cfRule>
  </conditionalFormatting>
  <conditionalFormatting sqref="R20">
    <cfRule type="cellIs" dxfId="47" priority="140" operator="equal">
      <formula>R17</formula>
    </cfRule>
    <cfRule type="cellIs" dxfId="46" priority="139" operator="notEqual">
      <formula>R17</formula>
    </cfRule>
  </conditionalFormatting>
  <conditionalFormatting sqref="R24">
    <cfRule type="cellIs" dxfId="45" priority="133" operator="notEqual">
      <formula>R21</formula>
    </cfRule>
    <cfRule type="cellIs" dxfId="44" priority="134" operator="equal">
      <formula>R21</formula>
    </cfRule>
  </conditionalFormatting>
  <conditionalFormatting sqref="R28">
    <cfRule type="cellIs" dxfId="43" priority="128" operator="equal">
      <formula>R25</formula>
    </cfRule>
    <cfRule type="cellIs" dxfId="42" priority="127" operator="notEqual">
      <formula>R25</formula>
    </cfRule>
  </conditionalFormatting>
  <conditionalFormatting sqref="R32">
    <cfRule type="cellIs" dxfId="41" priority="122" operator="equal">
      <formula>R29</formula>
    </cfRule>
    <cfRule type="cellIs" dxfId="40" priority="121" operator="notEqual">
      <formula>R29</formula>
    </cfRule>
  </conditionalFormatting>
  <conditionalFormatting sqref="R36">
    <cfRule type="cellIs" dxfId="39" priority="116" operator="equal">
      <formula>R33</formula>
    </cfRule>
    <cfRule type="cellIs" dxfId="38" priority="115" operator="notEqual">
      <formula>R33</formula>
    </cfRule>
  </conditionalFormatting>
  <conditionalFormatting sqref="R40">
    <cfRule type="cellIs" dxfId="37" priority="110" operator="equal">
      <formula>R37</formula>
    </cfRule>
    <cfRule type="cellIs" dxfId="36" priority="109" operator="notEqual">
      <formula>R37</formula>
    </cfRule>
  </conditionalFormatting>
  <conditionalFormatting sqref="R44">
    <cfRule type="cellIs" dxfId="35" priority="104" operator="equal">
      <formula>R41</formula>
    </cfRule>
    <cfRule type="cellIs" dxfId="34" priority="103" operator="notEqual">
      <formula>R41</formula>
    </cfRule>
  </conditionalFormatting>
  <conditionalFormatting sqref="R48">
    <cfRule type="cellIs" dxfId="33" priority="98" operator="equal">
      <formula>R45</formula>
    </cfRule>
    <cfRule type="cellIs" dxfId="32" priority="97" operator="notEqual">
      <formula>R45</formula>
    </cfRule>
  </conditionalFormatting>
  <conditionalFormatting sqref="R52">
    <cfRule type="cellIs" dxfId="31" priority="92" operator="equal">
      <formula>R49</formula>
    </cfRule>
    <cfRule type="cellIs" dxfId="30" priority="91" operator="notEqual">
      <formula>R49</formula>
    </cfRule>
  </conditionalFormatting>
  <conditionalFormatting sqref="R56">
    <cfRule type="cellIs" dxfId="29" priority="86" operator="equal">
      <formula>R53</formula>
    </cfRule>
    <cfRule type="cellIs" dxfId="28" priority="85" operator="notEqual">
      <formula>R53</formula>
    </cfRule>
  </conditionalFormatting>
  <conditionalFormatting sqref="R60">
    <cfRule type="cellIs" dxfId="27" priority="79" operator="notEqual">
      <formula>R57</formula>
    </cfRule>
    <cfRule type="cellIs" dxfId="26" priority="80" operator="equal">
      <formula>R57</formula>
    </cfRule>
  </conditionalFormatting>
  <conditionalFormatting sqref="R64">
    <cfRule type="cellIs" dxfId="25" priority="73" operator="notEqual">
      <formula>R61</formula>
    </cfRule>
    <cfRule type="cellIs" dxfId="24" priority="74" operator="equal">
      <formula>R61</formula>
    </cfRule>
  </conditionalFormatting>
  <conditionalFormatting sqref="R68">
    <cfRule type="cellIs" dxfId="23" priority="67" operator="notEqual">
      <formula>R65</formula>
    </cfRule>
    <cfRule type="cellIs" dxfId="22" priority="68" operator="equal">
      <formula>R65</formula>
    </cfRule>
  </conditionalFormatting>
  <conditionalFormatting sqref="R72">
    <cfRule type="cellIs" dxfId="21" priority="61" operator="notEqual">
      <formula>R69</formula>
    </cfRule>
    <cfRule type="cellIs" dxfId="20" priority="62" operator="equal">
      <formula>R69</formula>
    </cfRule>
  </conditionalFormatting>
  <conditionalFormatting sqref="R76">
    <cfRule type="cellIs" dxfId="19" priority="55" operator="notEqual">
      <formula>R73</formula>
    </cfRule>
    <cfRule type="cellIs" dxfId="18" priority="56" operator="equal">
      <formula>R73</formula>
    </cfRule>
  </conditionalFormatting>
  <conditionalFormatting sqref="R80">
    <cfRule type="cellIs" dxfId="17" priority="50" operator="equal">
      <formula>R77</formula>
    </cfRule>
    <cfRule type="cellIs" dxfId="16" priority="49" operator="notEqual">
      <formula>R77</formula>
    </cfRule>
  </conditionalFormatting>
  <conditionalFormatting sqref="R84">
    <cfRule type="cellIs" dxfId="15" priority="43" operator="notEqual">
      <formula>R81</formula>
    </cfRule>
    <cfRule type="cellIs" dxfId="14" priority="44" operator="equal">
      <formula>R81</formula>
    </cfRule>
  </conditionalFormatting>
  <conditionalFormatting sqref="R88">
    <cfRule type="cellIs" dxfId="13" priority="37" operator="notEqual">
      <formula>R85</formula>
    </cfRule>
    <cfRule type="cellIs" dxfId="12" priority="38" operator="equal">
      <formula>R85</formula>
    </cfRule>
  </conditionalFormatting>
  <conditionalFormatting sqref="R92">
    <cfRule type="cellIs" dxfId="11" priority="31" operator="notEqual">
      <formula>R89</formula>
    </cfRule>
    <cfRule type="cellIs" dxfId="10" priority="32" operator="equal">
      <formula>R89</formula>
    </cfRule>
  </conditionalFormatting>
  <conditionalFormatting sqref="R96">
    <cfRule type="cellIs" dxfId="9" priority="25" operator="notEqual">
      <formula>R93</formula>
    </cfRule>
    <cfRule type="cellIs" dxfId="8" priority="26" operator="equal">
      <formula>R93</formula>
    </cfRule>
  </conditionalFormatting>
  <conditionalFormatting sqref="R100">
    <cfRule type="cellIs" dxfId="7" priority="19" operator="notEqual">
      <formula>R97</formula>
    </cfRule>
    <cfRule type="cellIs" dxfId="6" priority="20" operator="equal">
      <formula>R97</formula>
    </cfRule>
  </conditionalFormatting>
  <conditionalFormatting sqref="R104">
    <cfRule type="cellIs" dxfId="5" priority="14" operator="equal">
      <formula>R101</formula>
    </cfRule>
    <cfRule type="cellIs" dxfId="4" priority="13" operator="notEqual">
      <formula>R101</formula>
    </cfRule>
  </conditionalFormatting>
  <conditionalFormatting sqref="R108">
    <cfRule type="cellIs" dxfId="3" priority="7" operator="notEqual">
      <formula>R105</formula>
    </cfRule>
    <cfRule type="cellIs" dxfId="2" priority="8" operator="equal">
      <formula>R105</formula>
    </cfRule>
  </conditionalFormatting>
  <conditionalFormatting sqref="R112">
    <cfRule type="cellIs" dxfId="1" priority="2" operator="equal">
      <formula>R109</formula>
    </cfRule>
    <cfRule type="cellIs" dxfId="0" priority="1" operator="notEqual">
      <formula>R109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9B18-4114-4685-9F8F-C3F93DBC23FD}">
  <dimension ref="B2:L117"/>
  <sheetViews>
    <sheetView zoomScale="83" zoomScaleNormal="83" workbookViewId="0">
      <selection activeCell="S2" sqref="S2"/>
    </sheetView>
  </sheetViews>
  <sheetFormatPr defaultColWidth="8.875" defaultRowHeight="15.95"/>
  <cols>
    <col min="3" max="3" width="53.875" customWidth="1"/>
  </cols>
  <sheetData>
    <row r="2" spans="2:12">
      <c r="B2" s="295" t="s">
        <v>3951</v>
      </c>
      <c r="C2" s="295"/>
      <c r="D2" s="278"/>
      <c r="E2" s="307" t="s">
        <v>3908</v>
      </c>
      <c r="F2" s="307" t="s">
        <v>3909</v>
      </c>
      <c r="G2" s="307"/>
      <c r="H2" s="307"/>
      <c r="I2" s="307"/>
      <c r="J2" s="307" t="s">
        <v>2303</v>
      </c>
      <c r="K2" s="307" t="s">
        <v>71</v>
      </c>
      <c r="L2" s="307" t="s">
        <v>123</v>
      </c>
    </row>
    <row r="3" spans="2:12" ht="33.950000000000003">
      <c r="B3" s="294"/>
      <c r="D3" s="279"/>
      <c r="E3" s="307"/>
      <c r="F3" s="212" t="s">
        <v>363</v>
      </c>
      <c r="G3" s="212" t="s">
        <v>370</v>
      </c>
      <c r="H3" s="212" t="s">
        <v>394</v>
      </c>
      <c r="I3" s="212" t="s">
        <v>3915</v>
      </c>
      <c r="J3" s="307"/>
      <c r="K3" s="307"/>
      <c r="L3" s="307"/>
    </row>
    <row r="4" spans="2:12">
      <c r="D4" s="243" t="s">
        <v>3916</v>
      </c>
      <c r="E4" s="216" t="e" cm="1">
        <f t="array" ref="E4">SUMPRODUCT(
    --('Inventory - Public Private FMS'!#REF! &lt;&gt; 1),
    --(
        (ISNUMBER(SEARCH("Fruits", 'Inventory - Public Private FMS'!$F$165:$F$1792)))
        + (ISNUMBER(SEARCH("Vegetables", 'Inventory - Public Private FMS'!$F$165:$F$1792)))
        + (ISNUMBER(SEARCH("All food commodities", 'Inventory - Public Private FMS'!$F$165:$F$1792))) &gt; 0
    ),
--(NOT(ISNUMBER(SEARCH("Label Rouge", 'Inventory - Public Private FMS'!$P$165:$P$1792))))
)</f>
        <v>#REF!</v>
      </c>
      <c r="F4" s="216" t="e" cm="1">
        <f t="array" ref="F4">SUMPRODUCT(
    --('Inventory - Public Private FMS'!#REF! &lt;&gt; 1),
    --(
        (ISNUMBER(SEARCH("Meat", 'Inventory - Public Private FMS'!$F$165:$F$1792)))
        + (ISNUMBER(SEARCH("All food commodities", 'Inventory - Public Private FMS'!$F$165:$F$1792)))
        + (ISNUMBER(SEARCH("livestock", 'Inventory - Public Private FMS'!$F$165:$F$1792)))
        + (ISNUMBER(SEARCH("Bovine", 'Inventory - Public Private FMS'!$F$165:$F$1792))) &gt; 0
    )
)</f>
        <v>#REF!</v>
      </c>
      <c r="G4" s="216" t="e" cm="1">
        <f t="array" ref="G4">SUMPRODUCT(
    --('Inventory - Public Private FMS'!#REF! &lt;&gt; 1),
    --(
        (ISNUMBER(SEARCH("Meat", 'Inventory - Public Private FMS'!$F$165:$F$1792)))
        + (ISNUMBER(SEARCH("All food commodities", 'Inventory - Public Private FMS'!$F$165:$F$1792)))
        + (ISNUMBER(SEARCH("livestock", 'Inventory - Public Private FMS'!$F$165:$F$1792)))
        + (ISNUMBER(SEARCH("Pork", 'Inventory - Public Private FMS'!$F$165:$F$1792))) &gt; 0
    ),
--(NOT(ISNUMBER(SEARCH("Label Rouge", 'Inventory - Public Private FMS'!$P$165:$P$1792))))
)</f>
        <v>#REF!</v>
      </c>
      <c r="H4" s="216" t="e" cm="1">
        <f t="array" ref="H4">SUMPRODUCT(
    --('Inventory - Public Private FMS'!#REF! &lt;&gt; 1),
    --(
        (ISNUMBER(SEARCH("Meat", 'Inventory - Public Private FMS'!$F$165:$F$1792)))
        + (ISNUMBER(SEARCH("All food commodities", 'Inventory - Public Private FMS'!$F$165:$F$1792)))
        + (ISNUMBER(SEARCH("livestock", 'Inventory - Public Private FMS'!$F$165:$F$1792)))
        + (ISNUMBER(SEARCH("Poultry", 'Inventory - Public Private FMS'!$F$165:$F$1792))) &gt; 0
    ),
--(NOT(ISNUMBER(SEARCH("Label Rouge", 'Inventory - Public Private FMS'!$P$165:$P$1792))))
)</f>
        <v>#REF!</v>
      </c>
      <c r="I4" s="216" t="e" cm="1">
        <f t="array" ref="I4">SUMPRODUCT(
    --('Inventory - Public Private FMS'!#REF!&lt;&gt;1),
    --(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
    ),
--(NOT(ISNUMBER(SEARCH("Label Rouge", 'Inventory - Public Private FMS'!$P$165:$P$1792))))
)</f>
        <v>#REF!</v>
      </c>
      <c r="J4" s="216" t="e" cm="1">
        <f t="array" ref="J4">SUMPRODUCT(
    --('Inventory - Public Private FMS'!#REF! &lt;&gt; 1),
    --(
        (ISNUMBER(SEARCH("Eggs", 'Inventory - Public Private FMS'!$F$165:$F$1792))
        + ISNUMBER(SEARCH("All food commodities", 'Inventory - Public Private FMS'!$F$165:$F$1792)))&gt; 0
    ),
--(NOT(ISNUMBER(SEARCH("Label Rouge", 'Inventory - Public Private FMS'!$P$165:$P$1792))))
)</f>
        <v>#REF!</v>
      </c>
      <c r="K4" s="216" t="e" cm="1">
        <f t="array" ref="K4">SUMPRODUCT(
    --('Inventory - Public Private FMS'!#REF! &lt;&gt; 1),
--((ISNUMBER(SEARCH("Fish", 'Inventory - Public Private FMS'!$F$165:$F$1792)))
+ (ISNUMBER(SEARCH("All food commodities", 'Inventory - Public Private FMS'!$F$165:$F$1792)))
+ (ISNUMBER(SEARCH("Aquaculture", 'Inventory - Public Private FMS'!$F$165:$F$1792))) &gt; 0),
--(NOT(ISNUMBER(SEARCH("Label Rouge", 'Inventory - Public Private FMS'!$P$165:$P$1792)))))</f>
        <v>#REF!</v>
      </c>
      <c r="L4" s="216" t="e" cm="1">
        <f t="array" ref="L4">SUMPRODUCT(
    --('Inventory - Public Private FMS'!#REF! &lt;&gt; 1),
--((ISNUMBER(SEARCH("Cereals", 'Inventory - Public Private FMS'!$F$165:$F$1792)))
+ (ISNUMBER(SEARCH("All food commodities", 'Inventory - Public Private FMS'!$F$165:$F$1792))) &gt; 0),
--(NOT(ISNUMBER(SEARCH("Label Rouge", 'Inventory - Public Private FMS'!$P$165:$P$1792)))))</f>
        <v>#REF!</v>
      </c>
    </row>
    <row r="5" spans="2:12">
      <c r="B5" s="280" t="s">
        <v>262</v>
      </c>
      <c r="C5" s="281" t="s">
        <v>3952</v>
      </c>
      <c r="D5" s="216" cm="1">
        <f t="array" ref="D5">SUMPRODUCT(--((ISNUMBER(SEARCH("A,",'Inventory - Public Private FMS'!$H$165:$H$1792)))+
(ISNUMBER(SEARCH("A",'Inventory - Public Private FMS'!$H$165:$H$1792)))&gt;0),
--(NOT(ISNUMBER(SEARCH("Label Rouge", 'Inventory - Public Private FMS'!$P$165:$P$1792)))))</f>
        <v>169</v>
      </c>
      <c r="E5" s="218" cm="1">
        <f t="array" ref="E5">SUMPRODUCT(
    --((ISNUMBER(SEARCH("A,", 'Inventory - Public Private FMS'!$H$165:$H$1792))) +
      (ISNUMBER(SEARCH("A",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121</v>
      </c>
      <c r="F5" s="218" cm="1">
        <f t="array" ref="F5">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15</v>
      </c>
      <c r="G5" s="218" cm="1">
        <f t="array" ref="G5">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14</v>
      </c>
      <c r="H5" s="218" cm="1">
        <f t="array" ref="H5">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13</v>
      </c>
      <c r="I5" s="218" cm="1">
        <f t="array" ref="I5">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18</v>
      </c>
      <c r="J5" s="218" cm="1">
        <f t="array" ref="J5">SUMPRODUCT(
    --((ISNUMBER(SEARCH("A,", 'Inventory - Public Private FMS'!$H$165:$H$1792))) +
      (ISNUMBER(SEARCH("A", 'Inventory - Public Private FMS'!$H$165:$H$1792))) &gt; 0),
    --(
        (ISNUMBER(SEARCH("Eggs", 'Inventory - Public Private FMS'!$F$165:$F$1792))) +
        (ISNUMBER(SEARCH("All food commodities", 'Inventory - Public Private FMS'!$F$165:$F$1792))
    ) &gt; 0
),
--(NOT(ISNUMBER(SEARCH("Label Rouge", 'Inventory - Public Private FMS'!$P$165:$P$1792)))))</f>
        <v>10</v>
      </c>
      <c r="K5" s="218" cm="1">
        <f t="array" ref="K5">SUMPRODUCT(
    --((ISNUMBER(SEARCH("A,", 'Inventory - Public Private FMS'!$H$165:$H$1792))) +
      (ISNUMBER(SEARCH("A",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20</v>
      </c>
      <c r="L5" s="218" cm="1">
        <f t="array" ref="L5">SUMPRODUCT(
    --((ISNUMBER(SEARCH("A,", 'Inventory - Public Private FMS'!$H$165:$H$1792))) +
      (ISNUMBER(SEARCH("A", 'Inventory - Public Private FMS'!$H$165:$H$1792))) &gt; 0),
    --(
        (ISNUMBER(SEARCH("Cereals", 'Inventory - Public Private FMS'!$F$165:$F$1792))) +
        (ISNUMBER(SEARCH("All food commodities", 'Inventory - Public Private FMS'!$F$165:$F$1792))
    ) &gt; 0
),
--(NOT(ISNUMBER(SEARCH("Label Rouge", 'Inventory - Public Private FMS'!$P$165:$P$1792)))))</f>
        <v>27</v>
      </c>
    </row>
    <row r="6" spans="2:12">
      <c r="B6" s="280" t="s">
        <v>364</v>
      </c>
      <c r="C6" s="280" t="s">
        <v>3953</v>
      </c>
      <c r="D6" s="216" cm="1">
        <f t="array" ref="D6">SUMPRODUCT(
--((ISNUMBER(SEARCH("B,",'Inventory - Public Private FMS'!$H$165:$H$1792)))+
(ISNUMBER(SEARCH("B",'Inventory - Public Private FMS'!$H$165:$H$1792)))&gt;0),
--(NOT(ISNUMBER(SEARCH("Label Rouge", 'Inventory - Public Private FMS'!$P$165:$P$1792)))))</f>
        <v>297</v>
      </c>
      <c r="E6" s="218" cm="1">
        <f t="array" ref="E6">SUMPRODUCT(
    --((ISNUMBER(SEARCH("B,", 'Inventory - Public Private FMS'!$H$165:$H$1792))) +
      (ISNUMBER(SEARCH("B",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271</v>
      </c>
      <c r="F6" s="218" cm="1">
        <f t="array" ref="F6">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6</v>
      </c>
      <c r="G6" s="218" cm="1">
        <f t="array" ref="G6">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4</v>
      </c>
      <c r="H6" s="218" cm="1">
        <f t="array" ref="H6">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5</v>
      </c>
      <c r="I6" s="218" cm="1">
        <f t="array" ref="I6">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8</v>
      </c>
      <c r="J6" s="218" cm="1">
        <f t="array" ref="J6">SUMPRODUCT(
    --((ISNUMBER(SEARCH("B,", 'Inventory - Public Private FMS'!$H$165:$H$1792))) +
      (ISNUMBER(SEARCH("B", 'Inventory - Public Private FMS'!$H$165:$H$1792))) &gt; 0),
    --(
        (ISNUMBER(SEARCH("Eggs", 'Inventory - Public Private FMS'!$F$165:$F$1792))) +
        (ISNUMBER(SEARCH("All food commodities", 'Inventory - Public Private FMS'!$F$165:$F$1792))
    ) &gt; 0
),
--(NOT(ISNUMBER(SEARCH("Label Rouge", 'Inventory - Public Private FMS'!$P$165:$P$1792)))))</f>
        <v>5</v>
      </c>
      <c r="K6" s="218" cm="1">
        <f t="array" ref="K6">SUMPRODUCT(
    --((ISNUMBER(SEARCH("B,", 'Inventory - Public Private FMS'!$H$165:$H$1792))) +
      (ISNUMBER(SEARCH("B",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17</v>
      </c>
      <c r="L6" s="218" cm="1">
        <f t="array" ref="L6">SUMPRODUCT(
    --((ISNUMBER(SEARCH("B,", 'Inventory - Public Private FMS'!$H$165:$H$1792))) +
      (ISNUMBER(SEARCH("B", 'Inventory - Public Private FMS'!$H$165:$H$1792))) &gt; 0),
    --(
        (ISNUMBER(SEARCH("Cereals", 'Inventory - Public Private FMS'!$F$165:$F$1792))) +
        (ISNUMBER(SEARCH("All food commodities", 'Inventory - Public Private FMS'!$F$165:$F$1792))
    ) &gt; 0
),
--(NOT(ISNUMBER(SEARCH("Label Rouge", 'Inventory - Public Private FMS'!$P$165:$P$1792)))))</f>
        <v>3</v>
      </c>
    </row>
    <row r="7" spans="2:12">
      <c r="B7" s="280" t="s">
        <v>2331</v>
      </c>
      <c r="C7" s="280" t="s">
        <v>3954</v>
      </c>
      <c r="D7" s="216" cm="1">
        <f t="array" ref="D7">SUMPRODUCT(
--((ISNUMBER(SEARCH("C,",'Inventory - Public Private FMS'!$H$165:$H$1792)))+
(ISNUMBER(SEARCH("C",'Inventory - Public Private FMS'!$H$165:$H$1792)))&gt;0),
--(NOT(ISNUMBER(SEARCH("Label Rouge", 'Inventory - Public Private FMS'!$P$165:$P$1792)))))</f>
        <v>88</v>
      </c>
      <c r="E7" s="218" cm="1">
        <f t="array" ref="E7">SUMPRODUCT(
    --((ISNUMBER(SEARCH("C,", 'Inventory - Public Private FMS'!$H$165:$H$1792))) +
      (ISNUMBER(SEARCH("C",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51</v>
      </c>
      <c r="F7" s="218" cm="1">
        <f t="array" ref="F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10</v>
      </c>
      <c r="G7" s="218" cm="1">
        <f t="array" ref="G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9</v>
      </c>
      <c r="H7" s="218" cm="1">
        <f t="array" ref="H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8</v>
      </c>
      <c r="I7" s="218" cm="1">
        <f t="array" ref="I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10</v>
      </c>
      <c r="J7" s="218" cm="1">
        <f t="array" ref="J7">SUMPRODUCT(
    --((ISNUMBER(SEARCH("C,", 'Inventory - Public Private FMS'!$H$165:$H$1792))) +
      (ISNUMBER(SEARCH("C", 'Inventory - Public Private FMS'!$H$165:$H$1792))) &gt; 0),
    --(
        (ISNUMBER(SEARCH("Eggs", 'Inventory - Public Private FMS'!$F$165:$F$1792))) +
        (ISNUMBER(SEARCH("All food commodities", 'Inventory - Public Private FMS'!$F$165:$F$1792))
    ) &gt; 0
),
--(NOT(ISNUMBER(SEARCH("Label Rouge", 'Inventory - Public Private FMS'!$P$165:$P$1792)))))</f>
        <v>5</v>
      </c>
      <c r="K7" s="218" cm="1">
        <f t="array" ref="K7">SUMPRODUCT(
    --((ISNUMBER(SEARCH("C,", 'Inventory - Public Private FMS'!$H$165:$H$1792))) +
      (ISNUMBER(SEARCH("C",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17</v>
      </c>
      <c r="L7" s="218" cm="1">
        <f t="array" ref="L7">SUMPRODUCT(
    --((ISNUMBER(SEARCH("C,", 'Inventory - Public Private FMS'!$H$165:$H$1792))) +
      (ISNUMBER(SEARCH("C", 'Inventory - Public Private FMS'!$H$165:$H$1792))) &gt; 0),
    --(
        (ISNUMBER(SEARCH("Cereals", 'Inventory - Public Private FMS'!$F$165:$F$1792))) +
        (ISNUMBER(SEARCH("All food commodities", 'Inventory - Public Private FMS'!$F$165:$F$1792))
    ) &gt; 0
),
--(NOT(ISNUMBER(SEARCH("Label Rouge", 'Inventory - Public Private FMS'!$P$165:$P$1792)))))</f>
        <v>21</v>
      </c>
    </row>
    <row r="8" spans="2:12">
      <c r="B8" s="280" t="s">
        <v>291</v>
      </c>
      <c r="C8" s="280" t="s">
        <v>3955</v>
      </c>
      <c r="D8" s="216" cm="1">
        <f t="array" ref="D8">SUMPRODUCT(
--((ISNUMBER(SEARCH("D,",'Inventory - Public Private FMS'!$H$165:$H$1792)))+
(ISNUMBER(SEARCH("D",'Inventory - Public Private FMS'!$H$165:$H$1792)))&gt;0),
--(NOT(ISNUMBER(SEARCH("Label Rouge", 'Inventory - Public Private FMS'!$P$165:$P$1792)))))</f>
        <v>336</v>
      </c>
      <c r="E8" s="218" cm="1">
        <f t="array" ref="E8">SUMPRODUCT(
    --((ISNUMBER(SEARCH("D,", 'Inventory - Public Private FMS'!$H$165:$H$1792))) +
      (ISNUMBER(SEARCH("D",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271</v>
      </c>
      <c r="F8" s="218" cm="1">
        <f t="array" ref="F8">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43</v>
      </c>
      <c r="G8" s="218" cm="1">
        <f t="array" ref="G8">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38</v>
      </c>
      <c r="H8" s="218" cm="1">
        <f t="array" ref="H8">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36</v>
      </c>
      <c r="I8" s="218" cm="1">
        <f t="array" ref="I8">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47</v>
      </c>
      <c r="J8" s="218" cm="1">
        <f t="array" ref="J8">SUMPRODUCT(
    --((ISNUMBER(SEARCH("D,", 'Inventory - Public Private FMS'!$H$165:$H$1792))) +
      (ISNUMBER(SEARCH("D", 'Inventory - Public Private FMS'!$H$165:$H$1792))) &gt; 0),
    --(
        (ISNUMBER(SEARCH("Eggs", 'Inventory - Public Private FMS'!$F$165:$F$1792))) +
        (ISNUMBER(SEARCH("All food commodities", 'Inventory - Public Private FMS'!$F$165:$F$1792))
    ) &gt; 0
),
--(NOT(ISNUMBER(SEARCH("Label Rouge", 'Inventory - Public Private FMS'!$P$165:$P$1792)))))</f>
        <v>31</v>
      </c>
      <c r="K8" s="218" cm="1">
        <f t="array" ref="K8">SUMPRODUCT(
    --((ISNUMBER(SEARCH("D,", 'Inventory - Public Private FMS'!$H$165:$H$1792))) +
      (ISNUMBER(SEARCH("D",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37</v>
      </c>
      <c r="L8" s="218" cm="1">
        <f t="array" ref="L8">SUMPRODUCT(
    --((ISNUMBER(SEARCH("D,", 'Inventory - Public Private FMS'!$H$165:$H$1792))) +
      (ISNUMBER(SEARCH("D", 'Inventory - Public Private FMS'!$H$165:$H$1792))) &gt; 0),
    --(
        (ISNUMBER(SEARCH("Cereals", 'Inventory - Public Private FMS'!$F$165:$F$1792))) +
        (ISNUMBER(SEARCH("All food commodities", 'Inventory - Public Private FMS'!$F$165:$F$1792))
    ) &gt; 0
),
--(NOT(ISNUMBER(SEARCH("Label Rouge", 'Inventory - Public Private FMS'!$P$165:$P$1792)))))</f>
        <v>50</v>
      </c>
    </row>
    <row r="9" spans="2:12">
      <c r="B9" s="280" t="s">
        <v>298</v>
      </c>
      <c r="C9" s="280" t="s">
        <v>3956</v>
      </c>
      <c r="D9" s="216" cm="1">
        <f t="array" ref="D9">SUMPRODUCT(
--((ISNUMBER(SEARCH("E,",'Inventory - Public Private FMS'!$H$165:$H$1792)))+
(ISNUMBER(SEARCH("E",'Inventory - Public Private FMS'!$H$165:$H$1792)))&gt;0),
--(NOT(ISNUMBER(SEARCH("Label Rouge", 'Inventory - Public Private FMS'!$P$165:$P$1792)))))</f>
        <v>151</v>
      </c>
      <c r="E9" s="218" cm="1">
        <f t="array" ref="E9">SUMPRODUCT(
    --((ISNUMBER(SEARCH("E,", 'Inventory - Public Private FMS'!$H$165:$H$1792))) +
      (ISNUMBER(SEARCH("E",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90</v>
      </c>
      <c r="F9" s="218" cm="1">
        <f t="array" ref="F9">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11</v>
      </c>
      <c r="G9" s="218" cm="1">
        <f t="array" ref="G9">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10</v>
      </c>
      <c r="H9" s="218" cm="1">
        <f t="array" ref="H9">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8</v>
      </c>
      <c r="I9" s="218" cm="1">
        <f t="array" ref="I9">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11</v>
      </c>
      <c r="J9" s="218" cm="1">
        <f t="array" ref="J9">SUMPRODUCT(
    --((ISNUMBER(SEARCH("E,", 'Inventory - Public Private FMS'!$H$165:$H$1792))) +
      (ISNUMBER(SEARCH("E", 'Inventory - Public Private FMS'!$H$165:$H$1792))) &gt; 0),
    --(
        (ISNUMBER(SEARCH("Eggs", 'Inventory - Public Private FMS'!$F$165:$F$1792))) +
        (ISNUMBER(SEARCH("All food commodities", 'Inventory - Public Private FMS'!$F$165:$F$1792))
    ) &gt; 0
),
--(NOT(ISNUMBER(SEARCH("Label Rouge", 'Inventory - Public Private FMS'!$P$165:$P$1792)))))</f>
        <v>5</v>
      </c>
      <c r="K9" s="218" cm="1">
        <f t="array" ref="K9">SUMPRODUCT(
    --((ISNUMBER(SEARCH("E,", 'Inventory - Public Private FMS'!$H$165:$H$1792))) +
      (ISNUMBER(SEARCH("E",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15</v>
      </c>
      <c r="L9" s="218" cm="1">
        <f t="array" ref="L9">SUMPRODUCT(
    --((ISNUMBER(SEARCH("E,", 'Inventory - Public Private FMS'!$H$165:$H$1792))) +
      (ISNUMBER(SEARCH("E", 'Inventory - Public Private FMS'!$H$165:$H$1792))) &gt; 0),
    --(
        (ISNUMBER(SEARCH("Cereals", 'Inventory - Public Private FMS'!$F$165:$F$1792))) +
        (ISNUMBER(SEARCH("All food commodities", 'Inventory - Public Private FMS'!$F$165:$F$1792))
    ) &gt; 0
),
--(NOT(ISNUMBER(SEARCH("Label Rouge", 'Inventory - Public Private FMS'!$P$165:$P$1792)))))</f>
        <v>41</v>
      </c>
    </row>
    <row r="10" spans="2:12">
      <c r="B10" s="280" t="s">
        <v>666</v>
      </c>
      <c r="C10" s="280" t="s">
        <v>3957</v>
      </c>
      <c r="D10" s="216" cm="1">
        <f t="array" ref="D10">SUMPRODUCT(
--((ISNUMBER(SEARCH("F,",'Inventory - Public Private FMS'!$H$165:$H$1792)))+
(ISNUMBER(SEARCH("F",'Inventory - Public Private FMS'!$H$165:$H$1792)))&gt;0),
--(NOT(ISNUMBER(SEARCH("Label Rouge", 'Inventory - Public Private FMS'!$P$165:$P$1792)))))</f>
        <v>87</v>
      </c>
      <c r="E10" s="218" cm="1">
        <f t="array" ref="E10">SUMPRODUCT(
    --((ISNUMBER(SEARCH("F,", 'Inventory - Public Private FMS'!$H$165:$H$1792))) +
      (ISNUMBER(SEARCH("F",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53</v>
      </c>
      <c r="F10" s="218" cm="1">
        <f t="array" ref="F10">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12</v>
      </c>
      <c r="G10" s="218" cm="1">
        <f t="array" ref="G10">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11</v>
      </c>
      <c r="H10" s="218" cm="1">
        <f t="array" ref="H10">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10</v>
      </c>
      <c r="I10" s="218" cm="1">
        <f t="array" ref="I10">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12</v>
      </c>
      <c r="J10" s="218" cm="1">
        <f t="array" ref="J10">SUMPRODUCT(
    --((ISNUMBER(SEARCH("F,", 'Inventory - Public Private FMS'!$H$165:$H$1792))) +
      (ISNUMBER(SEARCH("F", 'Inventory - Public Private FMS'!$H$165:$H$1792))) &gt; 0),
    --(
        (ISNUMBER(SEARCH("Eggs", 'Inventory - Public Private FMS'!$F$165:$F$1792))) +
        (ISNUMBER(SEARCH("All food commodities", 'Inventory - Public Private FMS'!$F$165:$F$1792))
    ) &gt; 0
),
--(NOT(ISNUMBER(SEARCH("Label Rouge", 'Inventory - Public Private FMS'!$P$165:$P$1792)))))</f>
        <v>6</v>
      </c>
      <c r="K10" s="218" cm="1">
        <f t="array" ref="K10">SUMPRODUCT(
    --((ISNUMBER(SEARCH("F,", 'Inventory - Public Private FMS'!$H$165:$H$1792))) +
      (ISNUMBER(SEARCH("F",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18</v>
      </c>
      <c r="L10" s="218" cm="1">
        <f t="array" ref="L10">SUMPRODUCT(
    --((ISNUMBER(SEARCH("F,", 'Inventory - Public Private FMS'!$H$165:$H$1792))) +
      (ISNUMBER(SEARCH("F", 'Inventory - Public Private FMS'!$H$165:$H$1792))) &gt; 0),
    --(
        (ISNUMBER(SEARCH("Cereals", 'Inventory - Public Private FMS'!$F$165:$F$1792))) +
        (ISNUMBER(SEARCH("All food commodities", 'Inventory - Public Private FMS'!$F$165:$F$1792))
    ) &gt; 0
),
--(NOT(ISNUMBER(SEARCH("Label Rouge", 'Inventory - Public Private FMS'!$P$165:$P$1792)))))</f>
        <v>23</v>
      </c>
    </row>
    <row r="11" spans="2:12">
      <c r="B11" s="280" t="s">
        <v>72</v>
      </c>
      <c r="C11" s="280" t="s">
        <v>3958</v>
      </c>
      <c r="D11" s="216" cm="1">
        <f t="array" ref="D11">SUMPRODUCT(
--((ISNUMBER(SEARCH("G,",'Inventory - Public Private FMS'!$H$165:$H$1792)))+
(ISNUMBER(SEARCH("G",'Inventory - Public Private FMS'!$H$165:$H$1792)))&gt;0),
--(NOT(ISNUMBER(SEARCH("Label Rouge", 'Inventory - Public Private FMS'!$P$165:$P$1792)))),
--(NOT(ISNUMBER(SEARCH("Protected Designation of Origin (PDO) / Protected Geographical indication (PGI)", 'Inventory - Public Private FMS'!$P$165:$P$1792))))
)</f>
        <v>13</v>
      </c>
      <c r="E11" s="218" cm="1">
        <f t="array" ref="E11">SUMPRODUCT(
    --((ISNUMBER(SEARCH("G,", 'Inventory - Public Private FMS'!$H$165:$H$1792))) +
      (ISNUMBER(SEARCH("G",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8</v>
      </c>
      <c r="F11" s="218" cm="1">
        <f t="array" ref="F11">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
--(NOT(ISNUMBER(SEARCH("Protected Designation of Origin (PDO) / Protected Geographical indication (PGI)", 'Inventory - Public Private FMS'!$P$165:$P$1792)))))</f>
        <v>9</v>
      </c>
      <c r="G11" s="218" cm="1">
        <f t="array" ref="G11">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
--(NOT(ISNUMBER(SEARCH("Protected Designation of Origin (PDO) / Protected Geographical indication (PGI)", 'Inventory - Public Private FMS'!$P$165:$P$1792)))))</f>
        <v>9</v>
      </c>
      <c r="H11" s="218" cm="1">
        <f t="array" ref="H11">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
--(NOT(ISNUMBER(SEARCH("Protected Designation of Origin (PDO) / Protected Geographical indication (PGI)", 'Inventory - Public Private FMS'!$P$165:$P$1792)))))</f>
        <v>10</v>
      </c>
      <c r="I11" s="218" cm="1">
        <f t="array" ref="I11">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
--(NOT(ISNUMBER(SEARCH("Protected Designation of Origin (PDO) / Protected Geographical indication (PGI)", 'Inventory - Public Private FMS'!$P$165:$P$1792)))))</f>
        <v>10</v>
      </c>
      <c r="J11" s="218" cm="1">
        <f t="array" ref="J11">SUMPRODUCT(
    --((ISNUMBER(SEARCH("G,", 'Inventory - Public Private FMS'!$H$165:$H$1792))) +
      (ISNUMBER(SEARCH("G", 'Inventory - Public Private FMS'!$H$165:$H$1792))) &gt; 0),
    --(
        (ISNUMBER(SEARCH("Eggs",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8</v>
      </c>
      <c r="K11" s="218" cm="1">
        <f t="array" ref="K11">SUMPRODUCT(
    --((ISNUMBER(SEARCH("G,", 'Inventory - Public Private FMS'!$H$165:$H$1792))) +
      (ISNUMBER(SEARCH("G",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9</v>
      </c>
      <c r="L11" s="218" cm="1">
        <f t="array" ref="L11">SUMPRODUCT(
    --((ISNUMBER(SEARCH("G,", 'Inventory - Public Private FMS'!$H$165:$H$1792))) +
      (ISNUMBER(SEARCH("G", 'Inventory - Public Private FMS'!$H$165:$H$1792))) &gt; 0),
    --(
        (ISNUMBER(SEARCH("Cereals",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9</v>
      </c>
    </row>
    <row r="12" spans="2:12">
      <c r="B12" s="280" t="s">
        <v>2125</v>
      </c>
      <c r="C12" s="280" t="s">
        <v>3959</v>
      </c>
      <c r="D12" s="216" cm="1">
        <f t="array" ref="D12">SUMPRODUCT(
--((ISNUMBER(SEARCH("I,",'Inventory - Public Private FMS'!$H$165:$H$1792)))+
(ISNUMBER(SEARCH("I",'Inventory - Public Private FMS'!$H$165:$H$1792)))&gt;0),
--(NOT(ISNUMBER(SEARCH("Label Rouge", 'Inventory - Public Private FMS'!$P$165:$P$1792)))))</f>
        <v>6</v>
      </c>
      <c r="E12" s="218" cm="1">
        <f t="array" ref="E12">SUMPRODUCT(
    --((ISNUMBER(SEARCH("I,", 'Inventory - Public Private FMS'!$H$165:$H$1792))) +
      (ISNUMBER(SEARCH("I",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3</v>
      </c>
      <c r="F12" s="218" cm="1">
        <f t="array" ref="F12">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5</v>
      </c>
      <c r="G12" s="218" cm="1">
        <f t="array" ref="G12">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5</v>
      </c>
      <c r="H12" s="218" cm="1">
        <f t="array" ref="H12">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5</v>
      </c>
      <c r="I12" s="218" cm="1">
        <f t="array" ref="I12">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5</v>
      </c>
      <c r="J12" s="218" cm="1">
        <f t="array" ref="J12">SUMPRODUCT(
    --((ISNUMBER(SEARCH("I,", 'Inventory - Public Private FMS'!$H$165:$H$1792))) +
      (ISNUMBER(SEARCH("I", 'Inventory - Public Private FMS'!$H$165:$H$1792))) &gt; 0),
    --(
        (ISNUMBER(SEARCH("Eggs", 'Inventory - Public Private FMS'!$F$165:$F$1792))) +
        (ISNUMBER(SEARCH("All food commodities", 'Inventory - Public Private FMS'!$F$165:$F$1792))
    ) &gt; 0
),
--(NOT(ISNUMBER(SEARCH("Label Rouge", 'Inventory - Public Private FMS'!$P$165:$P$1792)))))</f>
        <v>4</v>
      </c>
      <c r="K12" s="218" cm="1">
        <f t="array" ref="K12">SUMPRODUCT(
    --((ISNUMBER(SEARCH("I,", 'Inventory - Public Private FMS'!$H$165:$H$1792))) +
      (ISNUMBER(SEARCH("I",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3</v>
      </c>
      <c r="L12" s="218" cm="1">
        <f t="array" ref="L12">SUMPRODUCT(
    --((ISNUMBER(SEARCH("I,", 'Inventory - Public Private FMS'!$H$165:$H$1792))) +
      (ISNUMBER(SEARCH("I", 'Inventory - Public Private FMS'!$H$165:$H$1792))) &gt; 0),
    --(
        (ISNUMBER(SEARCH("Cereals", 'Inventory - Public Private FMS'!$F$165:$F$1792))) +
        (ISNUMBER(SEARCH("All food commodities", 'Inventory - Public Private FMS'!$F$165:$F$1792))
    ) &gt; 0
),
--(NOT(ISNUMBER(SEARCH("Label Rouge", 'Inventory - Public Private FMS'!$P$165:$P$1792)))))</f>
        <v>3</v>
      </c>
    </row>
    <row r="13" spans="2:12">
      <c r="B13" s="280" t="s">
        <v>116</v>
      </c>
      <c r="C13" s="282" t="s">
        <v>3960</v>
      </c>
      <c r="D13" s="216" cm="1">
        <f t="array" ref="D13">SUMPRODUCT(
--((ISNUMBER(SEARCH("J,",'Inventory - Public Private FMS'!$H$165:$H$1792)))+
(ISNUMBER(SEARCH("J",'Inventory - Public Private FMS'!$H$165:$H$1792)))&gt;0),
--(NOT(ISNUMBER(SEARCH("Label Rouge", 'Inventory - Public Private FMS'!$P$165:$P$1792)))),
--(NOT(ISNUMBER(SEARCH("Protected Designation of Origin (PDO) / Protected Geographical indication (PGI)", 'Inventory - Public Private FMS'!$P$165:$P$1792)))))</f>
        <v>41</v>
      </c>
      <c r="E13" s="218" cm="1">
        <f t="array" ref="E13">SUMPRODUCT(
    --((ISNUMBER(SEARCH("J,", 'Inventory - Public Private FMS'!$H$165:$H$1792))) +
      (ISNUMBER(SEARCH("J",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36</v>
      </c>
      <c r="F13" s="218" cm="1">
        <f t="array" ref="F13">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
--(NOT(ISNUMBER(SEARCH("Protected Designation of Origin (PDO) / Protected Geographical indication (PGI)", 'Inventory - Public Private FMS'!$P$165:$P$1792)))))</f>
        <v>9</v>
      </c>
      <c r="G13" s="218" cm="1">
        <f t="array" ref="G13">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
--(NOT(ISNUMBER(SEARCH("Protected Designation of Origin (PDO) / Protected Geographical indication (PGI)", 'Inventory - Public Private FMS'!$P$165:$P$1792)))))</f>
        <v>8</v>
      </c>
      <c r="H13" s="218" cm="1">
        <f t="array" ref="H13">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
--(NOT(ISNUMBER(SEARCH("Protected Designation of Origin (PDO) / Protected Geographical indication (PGI)", 'Inventory - Public Private FMS'!$P$165:$P$1792)))))</f>
        <v>8</v>
      </c>
      <c r="I13" s="218" cm="1">
        <f t="array" ref="I13">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
--(NOT(ISNUMBER(SEARCH("Protected Designation of Origin (PDO) / Protected Geographical indication (PGI)", 'Inventory - Public Private FMS'!$P$165:$P$1792)))))</f>
        <v>9</v>
      </c>
      <c r="J13" s="218" cm="1">
        <f t="array" ref="J13">SUMPRODUCT(
    --((ISNUMBER(SEARCH("J,", 'Inventory - Public Private FMS'!$H$165:$H$1792))) +
      (ISNUMBER(SEARCH("J", 'Inventory - Public Private FMS'!$H$165:$H$1792))) &gt; 0),
    --(
        (ISNUMBER(SEARCH("Eggs",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7</v>
      </c>
      <c r="K13" s="218" cm="1">
        <f t="array" ref="K13">SUMPRODUCT(
    --((ISNUMBER(SEARCH("J,", 'Inventory - Public Private FMS'!$H$165:$H$1792))) +
      (ISNUMBER(SEARCH("J",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7</v>
      </c>
      <c r="L13" s="218" cm="1">
        <f t="array" ref="L13">SUMPRODUCT(
    --((ISNUMBER(SEARCH("J,", 'Inventory - Public Private FMS'!$H$165:$H$1792))) +
      (ISNUMBER(SEARCH("J", 'Inventory - Public Private FMS'!$H$165:$H$1792))) &gt; 0),
    --(
        (ISNUMBER(SEARCH("Cereals", 'Inventory - Public Private FMS'!$F$165:$F$1792))) +
        (ISNUMBER(SEARCH("All food commodities", 'Inventory - Public Private FMS'!$F$165:$F$1792))
    ) &gt; 0
),
--(NOT(ISNUMBER(SEARCH("Label Rouge", 'Inventory - Public Private FMS'!$P$165:$P$1792)))),
--(NOT(ISNUMBER(SEARCH("Protected Designation of Origin (PDO) / Protected Geographical indication (PGI)", 'Inventory - Public Private FMS'!$P$165:$P$1792)))))</f>
        <v>7</v>
      </c>
    </row>
    <row r="14" spans="2:12">
      <c r="B14" s="280" t="s">
        <v>124</v>
      </c>
      <c r="C14" s="280" t="s">
        <v>3961</v>
      </c>
      <c r="D14" s="216" cm="1">
        <f t="array" ref="D14">SUMPRODUCT(
--((ISNUMBER(SEARCH("K,",'Inventory - Public Private FMS'!$H$165:$H$1792)))+
(ISNUMBER(SEARCH("K",'Inventory - Public Private FMS'!$H$165:$H$1792)))&gt;0),
--(NOT(ISNUMBER(SEARCH("Label Rouge", 'Inventory - Public Private FMS'!$P$165:$P$1792)))))</f>
        <v>12</v>
      </c>
      <c r="E14" s="218" cm="1">
        <f t="array" ref="E14">SUMPRODUCT(
    --((ISNUMBER(SEARCH("K,", 'Inventory - Public Private FMS'!$H$165:$H$1792))) +
      (ISNUMBER(SEARCH("K",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6</v>
      </c>
      <c r="F14" s="218" cm="1">
        <f t="array" ref="F1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7</v>
      </c>
      <c r="G14" s="218" cm="1">
        <f t="array" ref="G1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7</v>
      </c>
      <c r="H14" s="218" cm="1">
        <f t="array" ref="H1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6</v>
      </c>
      <c r="I14" s="218" cm="1">
        <f t="array" ref="I1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7</v>
      </c>
      <c r="J14" s="218" cm="1">
        <f t="array" ref="J14">SUMPRODUCT(
    --((ISNUMBER(SEARCH("K,", 'Inventory - Public Private FMS'!$H$165:$H$1792))) +
      (ISNUMBER(SEARCH("K", 'Inventory - Public Private FMS'!$H$165:$H$1792))) &gt; 0),
    --(
        (ISNUMBER(SEARCH("Eggs", 'Inventory - Public Private FMS'!$F$165:$F$1792))) +
        (ISNUMBER(SEARCH("All food commodities", 'Inventory - Public Private FMS'!$F$165:$F$1792))
    ) &gt; 0
),
--(NOT(ISNUMBER(SEARCH("Label Rouge", 'Inventory - Public Private FMS'!$P$165:$P$1792)))))</f>
        <v>5</v>
      </c>
      <c r="K14" s="218" cm="1">
        <f t="array" ref="K14">SUMPRODUCT(
    --((ISNUMBER(SEARCH("K,", 'Inventory - Public Private FMS'!$H$165:$H$1792))) +
      (ISNUMBER(SEARCH("K",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5</v>
      </c>
      <c r="L14" s="218" cm="1">
        <f t="array" ref="L14">SUMPRODUCT(
    --((ISNUMBER(SEARCH("K,", 'Inventory - Public Private FMS'!$H$165:$H$1792))) +
      (ISNUMBER(SEARCH("K", 'Inventory - Public Private FMS'!$H$165:$H$1792))) &gt; 0),
    --(
        (ISNUMBER(SEARCH("Cereals", 'Inventory - Public Private FMS'!$F$165:$F$1792))) +
        (ISNUMBER(SEARCH("All food commodities", 'Inventory - Public Private FMS'!$F$165:$F$1792))
    ) &gt; 0
),
--(NOT(ISNUMBER(SEARCH("Label Rouge", 'Inventory - Public Private FMS'!$P$165:$P$1792)))))</f>
        <v>9</v>
      </c>
    </row>
    <row r="15" spans="2:12">
      <c r="B15" s="280" t="s">
        <v>3176</v>
      </c>
      <c r="C15" s="280" t="s">
        <v>3962</v>
      </c>
      <c r="D15" s="216" cm="1">
        <f t="array" ref="D15">SUMPRODUCT(
--((ISNUMBER(SEARCH("L,",'Inventory - Public Private FMS'!$H$165:$H$1792)))+
(ISNUMBER(SEARCH("L",'Inventory - Public Private FMS'!$H$165:$H$1792)))&gt;0),
--(NOT(ISNUMBER(SEARCH("Label Rouge", 'Inventory - Public Private FMS'!$P$165:$P$1792)))))</f>
        <v>1</v>
      </c>
      <c r="E15" s="218" cm="1">
        <f t="array" ref="E15">SUMPRODUCT(
    --((ISNUMBER(SEARCH("L,", 'Inventory - Public Private FMS'!$H$165:$H$1792))) +
      (ISNUMBER(SEARCH("L",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0</v>
      </c>
      <c r="F15" s="218" cm="1">
        <f t="array" ref="F15">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0</v>
      </c>
      <c r="G15" s="218" cm="1">
        <f t="array" ref="G15">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0</v>
      </c>
      <c r="H15" s="218" cm="1">
        <f t="array" ref="H15">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0</v>
      </c>
      <c r="I15" s="218" cm="1">
        <f t="array" ref="I15">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0</v>
      </c>
      <c r="J15" s="218" cm="1">
        <f t="array" ref="J15">SUMPRODUCT(
    --((ISNUMBER(SEARCH("L,", 'Inventory - Public Private FMS'!$H$165:$H$1792))) +
      (ISNUMBER(SEARCH("L", 'Inventory - Public Private FMS'!$H$165:$H$1792))) &gt; 0),
    --(
        (ISNUMBER(SEARCH("Eggs", 'Inventory - Public Private FMS'!$F$165:$F$1792))) +
        (ISNUMBER(SEARCH("All food commodities", 'Inventory - Public Private FMS'!$F$165:$F$1792))
    ) &gt; 0
),
--(NOT(ISNUMBER(SEARCH("Label Rouge", 'Inventory - Public Private FMS'!$P$165:$P$1792)))))</f>
        <v>0</v>
      </c>
      <c r="K15" s="218" cm="1">
        <f t="array" ref="K15">SUMPRODUCT(
    --((ISNUMBER(SEARCH("L,", 'Inventory - Public Private FMS'!$H$165:$H$1792))) +
      (ISNUMBER(SEARCH("L",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1</v>
      </c>
      <c r="L15" s="218" cm="1">
        <f t="array" ref="L15">SUMPRODUCT(
    --((ISNUMBER(SEARCH("L,", 'Inventory - Public Private FMS'!$H$165:$H$1792))) +
      (ISNUMBER(SEARCH("L", 'Inventory - Public Private FMS'!$H$165:$H$1792))) &gt; 0),
    --(
        (ISNUMBER(SEARCH("Cereals", 'Inventory - Public Private FMS'!$F$165:$F$1792))) +
        (ISNUMBER(SEARCH("All food commodities", 'Inventory - Public Private FMS'!$F$165:$F$1792))
    ) &gt; 0
),
--(NOT(ISNUMBER(SEARCH("Label Rouge", 'Inventory - Public Private FMS'!$P$165:$P$1792)))))</f>
        <v>0</v>
      </c>
    </row>
    <row r="16" spans="2:12">
      <c r="B16" s="280" t="s">
        <v>177</v>
      </c>
      <c r="C16" s="280" t="s">
        <v>3963</v>
      </c>
      <c r="D16" s="216" cm="1">
        <f t="array" ref="D16">SUMPRODUCT(
--((ISNUMBER(SEARCH("M,",'Inventory - Public Private FMS'!$H$165:$H$1792)))+
(ISNUMBER(SEARCH("M",'Inventory - Public Private FMS'!$H$165:$H$1792)))&gt;0),
--(NOT(ISNUMBER(SEARCH("Label Rouge", 'Inventory - Public Private FMS'!$P$165:$P$1792)))))</f>
        <v>14</v>
      </c>
      <c r="E16" s="218" cm="1">
        <f t="array" ref="E16">SUMPRODUCT(
    --((ISNUMBER(SEARCH("M,", 'Inventory - Public Private FMS'!$H$165:$H$1792))) +
      (ISNUMBER(SEARCH("M", 'Inventory - Public Private FMS'!$H$165:$H$1792))) &gt; 0),
    --(
        (ISNUMBER(SEARCH("Fruits", 'Inventory - Public Private FMS'!$F$165:$F$1792))) +
        (ISNUMBER(SEARCH("Vegetables", 'Inventory - Public Private FMS'!$F$165:$F$1792))) +
        (ISNUMBER(SEARCH("All food commodities", 'Inventory - Public Private FMS'!$F$165:$F$1792))
    ) &gt; 0
),
--(NOT(ISNUMBER(SEARCH("Label Rouge", 'Inventory - Public Private FMS'!$P$165:$P$1792)))))</f>
        <v>4</v>
      </c>
      <c r="F16" s="218" cm="1">
        <f t="array" ref="F16">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
--(NOT(ISNUMBER(SEARCH("Label Rouge", 'Inventory - Public Private FMS'!$P$165:$P$1792)))))</f>
        <v>6</v>
      </c>
      <c r="G16" s="218" cm="1">
        <f t="array" ref="G16">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
--(NOT(ISNUMBER(SEARCH("Label Rouge", 'Inventory - Public Private FMS'!$P$165:$P$1792)))))</f>
        <v>5</v>
      </c>
      <c r="H16" s="218" cm="1">
        <f t="array" ref="H16">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
--(NOT(ISNUMBER(SEARCH("Label Rouge", 'Inventory - Public Private FMS'!$P$165:$P$1792)))))</f>
        <v>4</v>
      </c>
      <c r="I16" s="218" cm="1">
        <f t="array" ref="I16">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--(NOT(ISNUMBER(SEARCH("Label Rouge", 'Inventory - Public Private FMS'!$P$165:$P$1792)))))</f>
        <v>6</v>
      </c>
      <c r="J16" s="218" cm="1">
        <f t="array" ref="J16">SUMPRODUCT(
    --((ISNUMBER(SEARCH("M,", 'Inventory - Public Private FMS'!$H$165:$H$1792))) +
      (ISNUMBER(SEARCH("M", 'Inventory - Public Private FMS'!$H$165:$H$1792))) &gt; 0),
    --(
        (ISNUMBER(SEARCH("Eggs", 'Inventory - Public Private FMS'!$F$165:$F$1792))) +
        (ISNUMBER(SEARCH("All food commodities", 'Inventory - Public Private FMS'!$F$165:$F$1792))
    ) &gt; 0
),
--(NOT(ISNUMBER(SEARCH("Label Rouge", 'Inventory - Public Private FMS'!$P$165:$P$1792)))))</f>
        <v>4</v>
      </c>
      <c r="K16" s="218" cm="1">
        <f t="array" ref="K16">SUMPRODUCT(
    --((ISNUMBER(SEARCH("M,", 'Inventory - Public Private FMS'!$H$165:$H$1792))) +
      (ISNUMBER(SEARCH("M", 'Inventory - Public Private FMS'!$H$165:$H$1792))) &gt; 0),
    --(
        (ISNUMBER(SEARCH("Fish", 'Inventory - Public Private FMS'!$F$165:$F$1792))) +
        (ISNUMBER(SEARCH("Aquaculture", 'Inventory - Public Private FMS'!$F$165:$F$1792))) +
        (ISNUMBER(SEARCH("All food commodities", 'Inventory - Public Private FMS'!$F$165:$F$1792))
    ) &gt; 0
),
--(NOT(ISNUMBER(SEARCH("Label Rouge", 'Inventory - Public Private FMS'!$P$165:$P$1792)))))</f>
        <v>6</v>
      </c>
      <c r="L16" s="218" cm="1">
        <f t="array" ref="L16">SUMPRODUCT(
    --((ISNUMBER(SEARCH("M,", 'Inventory - Public Private FMS'!$H$165:$H$1792))) +
      (ISNUMBER(SEARCH("M", 'Inventory - Public Private FMS'!$H$165:$H$1792))) &gt; 0),
    --(
        (ISNUMBER(SEARCH("Cereals", 'Inventory - Public Private FMS'!$F$165:$F$1792))) +
        (ISNUMBER(SEARCH("All food commodities", 'Inventory - Public Private FMS'!$F$165:$F$1792))
    ) &gt; 0
),
--(NOT(ISNUMBER(SEARCH("Label Rouge", 'Inventory - Public Private FMS'!$P$165:$P$1792)))))</f>
        <v>6</v>
      </c>
    </row>
    <row r="18" spans="2:12" ht="15.6" customHeight="1">
      <c r="D18" s="278"/>
      <c r="E18" s="307" t="s">
        <v>3908</v>
      </c>
      <c r="F18" s="307" t="s">
        <v>3909</v>
      </c>
      <c r="G18" s="307"/>
      <c r="H18" s="307"/>
      <c r="I18" s="307"/>
      <c r="J18" s="307" t="s">
        <v>2303</v>
      </c>
      <c r="K18" s="307" t="s">
        <v>71</v>
      </c>
      <c r="L18" s="307" t="s">
        <v>123</v>
      </c>
    </row>
    <row r="19" spans="2:12" ht="33.950000000000003">
      <c r="D19" s="279"/>
      <c r="E19" s="307"/>
      <c r="F19" s="212" t="s">
        <v>363</v>
      </c>
      <c r="G19" s="212" t="s">
        <v>370</v>
      </c>
      <c r="H19" s="212" t="s">
        <v>394</v>
      </c>
      <c r="I19" s="212" t="s">
        <v>3915</v>
      </c>
      <c r="J19" s="307"/>
      <c r="K19" s="307"/>
      <c r="L19" s="307"/>
    </row>
    <row r="20" spans="2:12">
      <c r="D20" s="243" t="s">
        <v>3916</v>
      </c>
      <c r="E20" s="216" t="e" cm="1">
        <f t="array" ref="E20">SUMPRODUCT(
    --('Inventory - Public Private FMS'!#REF! &lt;&gt; 1),
    --(
        (ISNUMBER(SEARCH("Fruits", 'Inventory - Public Private FMS'!$F$165:$F$1792)))
        + (ISNUMBER(SEARCH("Vegetables", 'Inventory - Public Private FMS'!$F$165:$F$1792)))
        + (ISNUMBER(SEARCH("All food commodities", 'Inventory - Public Private FMS'!$F$165:$F$1792))) &gt; 0
    )
)</f>
        <v>#REF!</v>
      </c>
      <c r="F20" s="216" t="e" cm="1">
        <f t="array" ref="F20">SUMPRODUCT(
    --('Inventory - Public Private FMS'!#REF! &lt;&gt; 1),
    --(
        (ISNUMBER(SEARCH("Meat", 'Inventory - Public Private FMS'!$F$165:$F$1792)))
        + (ISNUMBER(SEARCH("All food commodities", 'Inventory - Public Private FMS'!$F$165:$F$1792)))
        + (ISNUMBER(SEARCH("livestock", 'Inventory - Public Private FMS'!$F$165:$F$1792)))
        + (ISNUMBER(SEARCH("Bovine", 'Inventory - Public Private FMS'!$F$165:$F$1792))) &gt; 0
    )
)</f>
        <v>#REF!</v>
      </c>
      <c r="G20" s="216" t="e" cm="1">
        <f t="array" ref="G20">SUMPRODUCT(
    --('Inventory - Public Private FMS'!#REF! &lt;&gt; 1),
    --(
        (ISNUMBER(SEARCH("Meat", 'Inventory - Public Private FMS'!$F$165:$F$1792)))
        + (ISNUMBER(SEARCH("All food commodities", 'Inventory - Public Private FMS'!$F$165:$F$1792)))
        + (ISNUMBER(SEARCH("livestock", 'Inventory - Public Private FMS'!$F$165:$F$1792)))
        + (ISNUMBER(SEARCH("Pork", 'Inventory - Public Private FMS'!$F$165:$F$1792))) &gt; 0
    )
)</f>
        <v>#REF!</v>
      </c>
      <c r="H20" s="216" t="e" cm="1">
        <f t="array" ref="H20">SUMPRODUCT(
    --('Inventory - Public Private FMS'!#REF! &lt;&gt; 1),
    --(
        (ISNUMBER(SEARCH("Meat", 'Inventory - Public Private FMS'!$F$165:$F$1792)))
        + (ISNUMBER(SEARCH("All food commodities", 'Inventory - Public Private FMS'!$F$165:$F$1792)))
        + (ISNUMBER(SEARCH("livestock", 'Inventory - Public Private FMS'!$F$165:$F$1792)))
        + (ISNUMBER(SEARCH("Poultry", 'Inventory - Public Private FMS'!$F$165:$F$1792))) &gt; 0
    )
)</f>
        <v>#REF!</v>
      </c>
      <c r="I20" s="216" t="e" cm="1">
        <f t="array" ref="I20">SUMPRODUCT(
    --('Inventory - Public Private FMS'!#REF!&lt;&gt;1),
    --(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
    )
)</f>
        <v>#REF!</v>
      </c>
      <c r="J20" s="216" t="e" cm="1">
        <f t="array" ref="J20">SUMPRODUCT(
    --('Inventory - Public Private FMS'!#REF! &lt;&gt; 1),
    --(
        (ISNUMBER(SEARCH("Eggs", 'Inventory - Public Private FMS'!$F$165:$F$1792))
        + ISNUMBER(SEARCH("All food commodities", 'Inventory - Public Private FMS'!$F$165:$F$1792)))&gt; 0
    )
)</f>
        <v>#REF!</v>
      </c>
      <c r="K20" s="216" t="e" cm="1">
        <f t="array" ref="K20">SUMPRODUCT(
    --('Inventory - Public Private FMS'!#REF! &lt;&gt; 1),
--((ISNUMBER(SEARCH("Fish", 'Inventory - Public Private FMS'!$F$165:$F$1792)))
+ (ISNUMBER(SEARCH("All food commodities", 'Inventory - Public Private FMS'!$F$165:$F$1792)))
+ (ISNUMBER(SEARCH("Aquaculture", 'Inventory - Public Private FMS'!$F$165:$F$1792))) &gt; 0))</f>
        <v>#REF!</v>
      </c>
      <c r="L20" s="216" t="e" cm="1">
        <f t="array" ref="L20">SUMPRODUCT(
    --('Inventory - Public Private FMS'!#REF! &lt;&gt; 1),
--((ISNUMBER(SEARCH("Cereals", 'Inventory - Public Private FMS'!$F$165:$F$1792)))
+ (ISNUMBER(SEARCH("All food commodities", 'Inventory - Public Private FMS'!$F$165:$F$1792))) &gt; 0))</f>
        <v>#REF!</v>
      </c>
    </row>
    <row r="21" spans="2:12">
      <c r="B21" s="280" t="s">
        <v>262</v>
      </c>
      <c r="C21" s="281" t="s">
        <v>3952</v>
      </c>
      <c r="D21" s="216" cm="1">
        <f t="array" ref="D21">SUMPRODUCT(--((ISNUMBER(SEARCH("A,",'Inventory - Public Private FMS'!$H$165:$H$1792)))+
(ISNUMBER(SEARCH("A",'Inventory - Public Private FMS'!$H$165:$H$1792)))&gt;0))</f>
        <v>498</v>
      </c>
      <c r="E21" s="218" cm="1">
        <f t="array" ref="E21">SUMPRODUCT(
    --((ISNUMBER(SEARCH("A,", 'Inventory - Public Private FMS'!$H$165:$H$1792))) +
      (ISNUMBER(SEARCH("A", 'Inventory - Public Private FMS'!$H$165:$H$1792))) &gt; 0),
    --(
        (ISNUMBER(SEARCH("Fruits", 'Inventory - Public Private FMS'!$F$165:$F$1792))) +
        (ISNUMBER(SEARCH("Vegetables", 'Inventory - Public Private FMS'!$F$165:$F$1792))) +
        (ISNUMBER(SEARCH("All food commodities", 'Inventory - Public Private FMS'!$F$165:$F$1792))
    ) &gt; 0
))</f>
        <v>152</v>
      </c>
      <c r="F21" s="218" cm="1">
        <f t="array" ref="F21">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42</v>
      </c>
      <c r="G21" s="218" cm="1">
        <f t="array" ref="G21">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42</v>
      </c>
      <c r="H21" s="218" cm="1">
        <f t="array" ref="H21">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221</v>
      </c>
      <c r="I21" s="218" cm="1">
        <f t="array" ref="I21">SUMPRODUCT(
    --((ISNUMBER(SEARCH("A,", 'Inventory - Public Private FMS'!$H$165:$H$1792))) +
      (ISNUMBER(SEARCH("A",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279</v>
      </c>
      <c r="J21" s="218" cm="1">
        <f t="array" ref="J21">SUMPRODUCT(
    --((ISNUMBER(SEARCH("A,", 'Inventory - Public Private FMS'!$H$165:$H$1792))) +
      (ISNUMBER(SEARCH("A", 'Inventory - Public Private FMS'!$H$165:$H$1792))) &gt; 0),
    --(
        (ISNUMBER(SEARCH("Eggs", 'Inventory - Public Private FMS'!$F$165:$F$1792))) +
        (ISNUMBER(SEARCH("All food commodities", 'Inventory - Public Private FMS'!$F$165:$F$1792))
    ) &gt; 0
))</f>
        <v>24</v>
      </c>
      <c r="K21" s="218" cm="1">
        <f t="array" ref="K21">SUMPRODUCT(
    --((ISNUMBER(SEARCH("A,", 'Inventory - Public Private FMS'!$H$165:$H$1792))) +
      (ISNUMBER(SEARCH("A", 'Inventory - Public Private FMS'!$H$165:$H$1792))) &gt; 0),
    --(
        (ISNUMBER(SEARCH("Fish", 'Inventory - Public Private FMS'!$F$165:$F$1792))) +
        (ISNUMBER(SEARCH("Aquaculture", 'Inventory - Public Private FMS'!$F$165:$F$1792))) +
        (ISNUMBER(SEARCH("All food commodities", 'Inventory - Public Private FMS'!$F$165:$F$1792))
    ) &gt; 0
))</f>
        <v>40</v>
      </c>
      <c r="L21" s="218" cm="1">
        <f t="array" ref="L21">SUMPRODUCT(
    --((ISNUMBER(SEARCH("A,", 'Inventory - Public Private FMS'!$H$165:$H$1792))) +
      (ISNUMBER(SEARCH("A", 'Inventory - Public Private FMS'!$H$165:$H$1792))) &gt; 0),
    --(
        (ISNUMBER(SEARCH("Cereals", 'Inventory - Public Private FMS'!$F$165:$F$1792))) +
        (ISNUMBER(SEARCH("All food commodities", 'Inventory - Public Private FMS'!$F$165:$F$1792))
    ) &gt; 0
))</f>
        <v>34</v>
      </c>
    </row>
    <row r="22" spans="2:12">
      <c r="C22" t="s">
        <v>263</v>
      </c>
      <c r="D22" s="216" t="e" cm="1">
        <f t="array" ref="D22">SUMPRODUCT(
    --((ISNUMBER(SEARCH("A,", 'Inventory - Public Private FMS'!$H$165:$H$1792)) +
        ISNUMBER(SEARCH("A", 'Inventory - Public Private FMS'!$H$165:$H$1792))) &gt; 0),
    --(ISNUMBER(SEARCH("EU", 'Inventory - Public Private FMS'!#REF!)))
)</f>
        <v>#VALUE!</v>
      </c>
      <c r="E22" s="218" t="e" cm="1">
        <f t="array" ref="E22">SUMPRODUCT(
    --((ISNUMBER(SEARCH("A,", 'Inventory - Public Private FMS'!$H$165:$H$1792))) +
      (ISNUMBER(SEARCH("A",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22" s="218" t="e" cm="1">
        <f t="array" ref="F22">SUMPRODUCT(
    --((ISNUMBER(SEARCH("A,", 'Inventory - Public Private FMS'!$H$165:$H$1792))) +
      (ISNUMBER(SEARCH("A",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22" s="218" t="e" cm="1">
        <f t="array" ref="G22">SUMPRODUCT(
    --((ISNUMBER(SEARCH("A,", 'Inventory - Public Private FMS'!$H$165:$H$1792))) +
      (ISNUMBER(SEARCH("A",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22" s="218" t="e" cm="1">
        <f t="array" ref="H22">SUMPRODUCT(
    --((ISNUMBER(SEARCH("A,", 'Inventory - Public Private FMS'!$H$165:$H$1792))) +
      (ISNUMBER(SEARCH("A",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22" s="218" t="e" cm="1">
        <f t="array" ref="I22">SUMPRODUCT(
    --((ISNUMBER(SEARCH("A,", 'Inventory - Public Private FMS'!$H$165:$H$1792))) +
      (ISNUMBER(SEARCH("A",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22" s="218" t="e" cm="1">
        <f t="array" ref="J22">SUMPRODUCT(
    --((ISNUMBER(SEARCH("A,", 'Inventory - Public Private FMS'!$H$165:$H$1792))) +
      (ISNUMBER(SEARCH("A", 'Inventory - Public Private FMS'!$H$165:$H$1792))) &gt; 0),
    --(ISNUMBER(SEARCH("EU", 'Inventory - Public Private FMS'!#REF!))),
    --(
        (ISNUMBER(SEARCH("Eggs", 'Inventory - Public Private FMS'!$F$165:$F$1792))) +
        (ISNUMBER(SEARCH("All food commodities", 'Inventory - Public Private FMS'!$F$165:$F$1792))
    ) &gt; 0))</f>
        <v>#VALUE!</v>
      </c>
      <c r="K22" s="218" t="e" cm="1">
        <f t="array" ref="K22">SUMPRODUCT(
    --((ISNUMBER(SEARCH("A,", 'Inventory - Public Private FMS'!$H$165:$H$1792))) +
      (ISNUMBER(SEARCH("A",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22" s="218" t="e" cm="1">
        <f t="array" ref="L22">SUMPRODUCT(
    --((ISNUMBER(SEARCH("A,", 'Inventory - Public Private FMS'!$H$165:$H$1792))) +
      (ISNUMBER(SEARCH("A", 'Inventory - Public Private FMS'!$H$165:$H$1792))) &gt; 0),
    --(ISNUMBER(SEARCH("EU", 'Inventory - Public Private FMS'!#REF!))),
    --(
        (ISNUMBER(SEARCH("Cereals", 'Inventory - Public Private FMS'!$F$165:$F$1792))) +
        (ISNUMBER(SEARCH("All food commodities", 'Inventory - Public Private FMS'!$F$165:$F$1792))
    ) &gt; 0
))</f>
        <v>#VALUE!</v>
      </c>
    </row>
    <row r="23" spans="2:12">
      <c r="C23" t="s">
        <v>3928</v>
      </c>
      <c r="D23" s="216" t="e" cm="1">
        <f t="array" ref="D23">SUMPRODUCT(
    --((ISNUMBER(SEARCH("A,", 'Inventory - Public Private FMS'!$H$165:$H$1792)) +
        ISNUMBER(SEARCH("A", 'Inventory - Public Private FMS'!$H$165:$H$1792))) &gt; 0),
    --(ISNUMBER(SEARCH("OECD", 'Inventory - Public Private FMS'!#REF!)))
)</f>
        <v>#VALUE!</v>
      </c>
      <c r="E23" s="218" t="e" cm="1">
        <f t="array" ref="E23">SUMPRODUCT(
    --((ISNUMBER(SEARCH("A,", 'Inventory - Public Private FMS'!$H$165:$H$1792))) +
      (ISNUMBER(SEARCH("A",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23" s="218" t="e" cm="1">
        <f t="array" ref="F23">SUMPRODUCT(
    --((ISNUMBER(SEARCH("A,", 'Inventory - Public Private FMS'!$H$165:$H$1792))) +
      (ISNUMBER(SEARCH("A",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23" s="218" t="e" cm="1">
        <f t="array" ref="G23">SUMPRODUCT(
    --((ISNUMBER(SEARCH("A,", 'Inventory - Public Private FMS'!$H$165:$H$1792))) +
      (ISNUMBER(SEARCH("A",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23" s="218" t="e" cm="1">
        <f t="array" ref="H23">SUMPRODUCT(
    --((ISNUMBER(SEARCH("A,", 'Inventory - Public Private FMS'!$H$165:$H$1792))) +
      (ISNUMBER(SEARCH("A",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23" s="218" t="e" cm="1">
        <f t="array" ref="I23">SUMPRODUCT(
    --((ISNUMBER(SEARCH("A,", 'Inventory - Public Private FMS'!$H$165:$H$1792))) +
      (ISNUMBER(SEARCH("A",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23" s="218" t="e" cm="1">
        <f t="array" ref="J23">SUMPRODUCT(
    --((ISNUMBER(SEARCH("A,", 'Inventory - Public Private FMS'!$H$165:$H$1792))) +
      (ISNUMBER(SEARCH("A", 'Inventory - Public Private FMS'!$H$165:$H$1792))) &gt; 0),
    --(ISNUMBER(SEARCH("OECD", 'Inventory - Public Private FMS'!#REF!))),
    --(
        (ISNUMBER(SEARCH("Eggs", 'Inventory - Public Private FMS'!$F$165:$F$1792))) +
        (ISNUMBER(SEARCH("All food commodities", 'Inventory - Public Private FMS'!$F$165:$F$1792))
    ) &gt; 0
))</f>
        <v>#VALUE!</v>
      </c>
      <c r="K23" s="218" t="e" cm="1">
        <f t="array" ref="K23">SUMPRODUCT(
    --((ISNUMBER(SEARCH("A,", 'Inventory - Public Private FMS'!$H$165:$H$1792))) +
      (ISNUMBER(SEARCH("A",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23" s="218" t="e" cm="1">
        <f t="array" ref="L23">SUMPRODUCT(
    --((ISNUMBER(SEARCH("A,", 'Inventory - Public Private FMS'!$H$165:$H$1792))) +
      (ISNUMBER(SEARCH("A", 'Inventory - Public Private FMS'!$H$165:$H$1792))) &gt; 0),
    --(ISNUMBER(SEARCH("OECD", 'Inventory - Public Private FMS'!#REF!))),
    --(
        (ISNUMBER(SEARCH("Cereals", 'Inventory - Public Private FMS'!$F$165:$F$1792))) +
        (ISNUMBER(SEARCH("All food commodities", 'Inventory - Public Private FMS'!$F$165:$F$1792))
    ) &gt; 0
))</f>
        <v>#VALUE!</v>
      </c>
    </row>
    <row r="24" spans="2:12">
      <c r="C24" t="s">
        <v>3926</v>
      </c>
      <c r="D24" s="216" t="e" cm="1">
        <f t="array" ref="D24">SUMPRODUCT(
    --((ISNUMBER(SEARCH("A,", 'Inventory - Public Private FMS'!$H$165:$H$1792)) +
        ISNUMBER(SEARCH("A", 'Inventory - Public Private FMS'!$H$165:$H$1792))) &gt; 0),
    --(ISNUMBER(SEARCH("UNECE", 'Inventory - Public Private FMS'!#REF!)))
)</f>
        <v>#VALUE!</v>
      </c>
      <c r="E24" s="218" t="e" cm="1">
        <f t="array" ref="E24">SUMPRODUCT(
    --((ISNUMBER(SEARCH("A,", 'Inventory - Public Private FMS'!$H$165:$H$1792))) +
      (ISNUMBER(SEARCH("A",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24" s="218" t="e" cm="1">
        <f t="array" ref="F24">SUMPRODUCT(
    --((ISNUMBER(SEARCH("A,", 'Inventory - Public Private FMS'!$H$165:$H$1792))) +
      (ISNUMBER(SEARCH("A",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24" s="218" t="e" cm="1">
        <f t="array" ref="G24">SUMPRODUCT(
    --((ISNUMBER(SEARCH("A,", 'Inventory - Public Private FMS'!$H$165:$H$1792))) +
      (ISNUMBER(SEARCH("A",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24" s="218" t="e" cm="1">
        <f t="array" ref="H24">SUMPRODUCT(
    --((ISNUMBER(SEARCH("A,", 'Inventory - Public Private FMS'!$H$165:$H$1792))) +
      (ISNUMBER(SEARCH("A",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24" s="218" t="e" cm="1">
        <f t="array" ref="I24">SUMPRODUCT(
    --((ISNUMBER(SEARCH("A,", 'Inventory - Public Private FMS'!$H$165:$H$1792))) +
      (ISNUMBER(SEARCH("A",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24" s="218" t="e" cm="1">
        <f t="array" ref="J24">SUMPRODUCT(
    --((ISNUMBER(SEARCH("A,", 'Inventory - Public Private FMS'!$H$165:$H$1792))) +
      (ISNUMBER(SEARCH("A", 'Inventory - Public Private FMS'!$H$165:$H$1792))) &gt; 0),
    --(ISNUMBER(SEARCH("UNECE", 'Inventory - Public Private FMS'!#REF!))),
     --(
        (ISNUMBER(SEARCH("Eggs", 'Inventory - Public Private FMS'!$F$165:$F$1792))) +
        (ISNUMBER(SEARCH("All food commodities", 'Inventory - Public Private FMS'!$F$165:$F$1792))
    ) &gt; 0
))</f>
        <v>#VALUE!</v>
      </c>
      <c r="K24" s="218" t="e" cm="1">
        <f t="array" ref="K24">SUMPRODUCT(
    --((ISNUMBER(SEARCH("A,", 'Inventory - Public Private FMS'!$H$165:$H$1792))) +
      (ISNUMBER(SEARCH("A",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24" s="218" t="e" cm="1">
        <f t="array" ref="L24">SUMPRODUCT(
    --((ISNUMBER(SEARCH("A,", 'Inventory - Public Private FMS'!$H$165:$H$1792))) +
      (ISNUMBER(SEARCH("A", 'Inventory - Public Private FMS'!$H$165:$H$1792))) &gt; 0),
    --(ISNUMBER(SEARCH("UNECE", 'Inventory - Public Private FMS'!#REF!))),
    --(
        (ISNUMBER(SEARCH("Cereals", 'Inventory - Public Private FMS'!$F$165:$F$1792))) +
        (ISNUMBER(SEARCH("All food commodities", 'Inventory - Public Private FMS'!$F$165:$F$1792))
    ) &gt; 0
))</f>
        <v>#VALUE!</v>
      </c>
    </row>
    <row r="25" spans="2:12">
      <c r="C25" t="s">
        <v>3930</v>
      </c>
      <c r="D25" s="216" t="e" cm="1">
        <f t="array" ref="D25">SUMPRODUCT(
    --((ISNUMBER(SEARCH("A,", 'Inventory - Public Private FMS'!$H$165:$H$1792)) +
        ISNUMBER(SEARCH("A", 'Inventory - Public Private FMS'!$H$165:$H$1792))) &gt; 0),
    --(ISNUMBER(SEARCH("Codex Alimentarius", 'Inventory - Public Private FMS'!#REF!)))
)</f>
        <v>#VALUE!</v>
      </c>
      <c r="E25" s="218" t="e" cm="1">
        <f t="array" ref="E25">SUMPRODUCT(
    --((ISNUMBER(SEARCH("A,", 'Inventory - Public Private FMS'!$H$165:$H$1792))) +
      (ISNUMBER(SEARCH("A",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25" s="218" t="e" cm="1">
        <f t="array" ref="F25">SUMPRODUCT(
    --((ISNUMBER(SEARCH("A,", 'Inventory - Public Private FMS'!$H$165:$H$1792))) +
      (ISNUMBER(SEARCH("A",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25" s="218" t="e" cm="1">
        <f t="array" ref="G25">SUMPRODUCT(
    --((ISNUMBER(SEARCH("A,", 'Inventory - Public Private FMS'!$H$165:$H$1792))) +
      (ISNUMBER(SEARCH("A",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25" s="218" t="e" cm="1">
        <f t="array" ref="H25">SUMPRODUCT(
    --((ISNUMBER(SEARCH("A,", 'Inventory - Public Private FMS'!$H$165:$H$1792))) +
      (ISNUMBER(SEARCH("A",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25" s="218" t="e" cm="1">
        <f t="array" ref="I25">SUMPRODUCT(
    --((ISNUMBER(SEARCH("A,", 'Inventory - Public Private FMS'!$H$165:$H$1792))) +
      (ISNUMBER(SEARCH("A",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25" s="218" t="e" cm="1">
        <f t="array" ref="J25">SUMPRODUCT(
    --((ISNUMBER(SEARCH("A,", 'Inventory - Public Private FMS'!$H$165:$H$1792))) +
      (ISNUMBER(SEARCH("A", 'Inventory - Public Private FMS'!$H$165:$H$1792))) &gt; 0),
    --(ISNUMBER(SEARCH("Codex Alimentarius", 'Inventory - Public Private FMS'!#REF!))),
    --(
        (ISNUMBER(SEARCH("Eggs", 'Inventory - Public Private FMS'!$F$165:$F$1792))) +
        (ISNUMBER(SEARCH("All food commodities", 'Inventory - Public Private FMS'!$F$165:$F$1792))
    ) &gt; 0
))</f>
        <v>#VALUE!</v>
      </c>
      <c r="K25" s="218" t="e" cm="1">
        <f t="array" ref="K25">SUMPRODUCT(
    --((ISNUMBER(SEARCH("A,", 'Inventory - Public Private FMS'!$H$165:$H$1792))) +
      (ISNUMBER(SEARCH("A",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25" s="218" t="e" cm="1">
        <f t="array" ref="L25">SUMPRODUCT(
    --((ISNUMBER(SEARCH("A,", 'Inventory - Public Private FMS'!$H$165:$H$1792))) +
      (ISNUMBER(SEARCH("A", 'Inventory - Public Private FMS'!$H$165:$H$1792))) &gt; 0),
    --(ISNUMBER(SEARCH("Codex Alimentarius", 'Inventory - Public Private FMS'!#REF!))),
    --(
        (ISNUMBER(SEARCH("Cereals", 'Inventory - Public Private FMS'!$F$165:$F$1792))) +
        (ISNUMBER(SEARCH("All food commodities", 'Inventory - Public Private FMS'!$F$165:$F$1792))
    ) &gt; 0
))</f>
        <v>#VALUE!</v>
      </c>
    </row>
    <row r="26" spans="2:12" hidden="1">
      <c r="C26" t="s">
        <v>2405</v>
      </c>
      <c r="D26" s="216" cm="1">
        <f t="array" ref="D26">SUMPRODUCT(
    --((ISNUMBER(SEARCH("A,", 'Inventory - Public Private FMS'!$H$165:$H$1792)) +
        ISNUMBER(SEARCH("A", 'Inventory - Public Private FMS'!$H$165:$H$1792))) &gt; 0),
    --(ISNUMBER(SEARCH("Label Rouge", 'Inventory - Public Private FMS'!$P$165:$P$1792)))
)</f>
        <v>329</v>
      </c>
      <c r="E26" s="218" cm="1">
        <f t="array" ref="E26">SUMPRODUCT(
    --((ISNUMBER(SEARCH("A,", 'Inventory - Public Private FMS'!$H$165:$H$1792))) +
      (ISNUMBER(SEARCH("A",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26" s="218" cm="1">
        <f t="array" ref="F26">SUMPRODUCT(
    --((ISNUMBER(SEARCH("A,", 'Inventory - Public Private FMS'!$H$165:$H$1792))) +
      (ISNUMBER(SEARCH("A",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26" s="218" cm="1">
        <f t="array" ref="G26">SUMPRODUCT(
    --((ISNUMBER(SEARCH("A,", 'Inventory - Public Private FMS'!$H$165:$H$1792))) +
      (ISNUMBER(SEARCH("A",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26" s="218" cm="1">
        <f t="array" ref="H26">SUMPRODUCT(
    --((ISNUMBER(SEARCH("A,", 'Inventory - Public Private FMS'!$H$165:$H$1792))) +
      (ISNUMBER(SEARCH("A",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26" s="218" cm="1">
        <f t="array" ref="I26">SUMPRODUCT(
    --((ISNUMBER(SEARCH("A,", 'Inventory - Public Private FMS'!$H$165:$H$1792))) +
      (ISNUMBER(SEARCH("A",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26" s="218" cm="1">
        <f t="array" ref="J26">SUMPRODUCT(
    --((ISNUMBER(SEARCH("A,", 'Inventory - Public Private FMS'!$H$165:$H$1792))) +
      (ISNUMBER(SEARCH("A", 'Inventory - Public Private FMS'!$H$165:$H$1792))) &gt; 0),
    --(ISNUMBER(SEARCH("Label Rouge", 'Inventory - Public Private FMS'!$P$165:$P$1792))),
    --(
        (ISNUMBER(SEARCH("Eggs", 'Inventory - Public Private FMS'!$F$165:$F$1792))) +
        (ISNUMBER(SEARCH("All food commodities", 'Inventory - Public Private FMS'!$F$165:$F$1792))
    ) &gt; 0
))</f>
        <v>14</v>
      </c>
      <c r="K26" s="218" cm="1">
        <f t="array" ref="K26">SUMPRODUCT(
    --((ISNUMBER(SEARCH("A,", 'Inventory - Public Private FMS'!$H$165:$H$1792))) +
      (ISNUMBER(SEARCH("A",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20</v>
      </c>
      <c r="L26" s="218" cm="1">
        <f t="array" ref="L26">SUMPRODUCT(
    --((ISNUMBER(SEARCH("A,", 'Inventory - Public Private FMS'!$H$165:$H$1792))) +
      (ISNUMBER(SEARCH("A", 'Inventory - Public Private FMS'!$H$165:$H$1792))) &gt; 0),
    --(ISNUMBER(SEARCH("Label Rouge", 'Inventory - Public Private FMS'!$P$165:$P$1792))),
    --(
        (ISNUMBER(SEARCH("Cereals", 'Inventory - Public Private FMS'!$F$165:$F$1792))) +
        (ISNUMBER(SEARCH("All food commodities", 'Inventory - Public Private FMS'!$F$165:$F$1792))
    ) &gt; 0
))</f>
        <v>7</v>
      </c>
    </row>
    <row r="27" spans="2:12" ht="17.100000000000001">
      <c r="C27" s="284" t="s">
        <v>3964</v>
      </c>
      <c r="D27" s="216" t="e" cm="1">
        <f t="array" ref="D27">SUMPRODUCT(
    --((ISNUMBER(SEARCH("A,", 'Inventory - Public Private FMS'!$H$165:$H$1792)) +
        ISNUMBER(SEARCH("A",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27" s="283" t="e" cm="1">
        <f t="array" ref="E27">SUMPRODUCT(
    --((ISNUMBER(SEARCH("A,", 'Inventory - Public Private FMS'!$H$165:$H$1792)) +
        ISNUMBER(SEARCH("A",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27" s="283" t="e" cm="1">
        <f t="array" ref="F27">SUMPRODUCT(
--((ISNUMBER(SEARCH("A,",'Inventory - Public Private FMS'!$H$165:$H$1792))+
ISNUMBER(SEARCH("A",'Inventory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27" s="283" t="e" cm="1">
        <f t="array" ref="G27">SUMPRODUCT(
--((ISNUMBER(SEARCH("A,",'Inventory - Public Private FMS'!$H$165:$H$1792))+
ISNUMBER(SEARCH("A",'Inventory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27" s="283" t="e" cm="1">
        <f t="array" ref="H27">SUMPRODUCT(
--((ISNUMBER(SEARCH("A,",'Inventory - Public Private FMS'!$H$165:$H$1792))+
ISNUMBER(SEARCH("A",'Inventory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27" s="283" t="e" cm="1">
        <f t="array" ref="I27">SUMPRODUCT(
--((ISNUMBER(SEARCH("A,",'Inventory - Public Private FMS'!$H$165:$H$1792))+
ISNUMBER(SEARCH("A",'Inventory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27" s="283" t="e" cm="1">
        <f t="array" ref="J27">SUMPRODUCT(
    --((ISNUMBER(SEARCH("A,", 'Inventory - Public Private FMS'!$H$165:$H$1792)) +
        ISNUMBER(SEARCH("A",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27" s="283" t="e" cm="1">
        <f t="array" ref="K27">SUMPRODUCT(
    --((ISNUMBER(SEARCH("A,", 'Inventory - Public Private FMS'!$H$165:$H$1792)) +
        ISNUMBER(SEARCH("A",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27" s="283" t="e" cm="1">
        <f t="array" ref="L27">SUMPRODUCT(
    --((ISNUMBER(SEARCH("A,", 'Inventory - Public Private FMS'!$H$165:$H$1792)) +
        ISNUMBER(SEARCH("A",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28" spans="2:12">
      <c r="C28" t="s">
        <v>3965</v>
      </c>
      <c r="D28" s="216" cm="1">
        <f t="array" ref="D28">SUMPRODUCT(
    --((ISNUMBER(SEARCH("A,", 'Inventory - Public Private FMS'!$H$165:$H$1792)) +
        ISNUMBER(SEARCH("A", 'Inventory - Public Private FMS'!$H$165:$H$1792))) &gt; 0),
    --(ISNUMBER(SEARCH("Private", 'Inventory - Public Private FMS'!$L$165:$L$1792)))
)</f>
        <v>0</v>
      </c>
      <c r="E28" s="218" cm="1">
        <f t="array" ref="E28">SUMPRODUCT(
    --((ISNUMBER(SEARCH("A,", 'Inventory - Public Private FMS'!$H$165:$H$1792))) +
      (ISNUMBER(SEARCH("A",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28" s="218" cm="1">
        <f t="array" ref="F28">SUMPRODUCT(
    --((ISNUMBER(SEARCH("A,", 'Inventory - Public Private FMS'!$H$165:$H$1792))) +
      (ISNUMBER(SEARCH("A",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28" s="218" cm="1">
        <f t="array" ref="G28">SUMPRODUCT(
    --((ISNUMBER(SEARCH("A,", 'Inventory - Public Private FMS'!$H$165:$H$1792))) +
      (ISNUMBER(SEARCH("A",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28" s="218" cm="1">
        <f t="array" ref="H28">SUMPRODUCT(
    --((ISNUMBER(SEARCH("A,", 'Inventory - Public Private FMS'!$H$165:$H$1792))) +
      (ISNUMBER(SEARCH("A",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28" s="218" cm="1">
        <f t="array" ref="I28">SUMPRODUCT(
    --((ISNUMBER(SEARCH("A,", 'Inventory - Public Private FMS'!$H$165:$H$1792))) +
      (ISNUMBER(SEARCH("A",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28" s="218" cm="1">
        <f t="array" ref="J28">SUMPRODUCT(
    --((ISNUMBER(SEARCH("A,", 'Inventory - Public Private FMS'!$H$165:$H$1792))) +
      (ISNUMBER(SEARCH("A", 'Inventory - Public Private FMS'!$H$165:$H$1792))) &gt; 0),
    --(ISNUMBER(SEARCH("Private", 'Inventory - Public Private FMS'!$L$165:$L$1792))),
    --(
        (ISNUMBER(SEARCH("Eggs", 'Inventory - Public Private FMS'!$F$165:$F$1792))) +
        (ISNUMBER(SEARCH("All food commodities", 'Inventory - Public Private FMS'!$F$165:$F$1792))
    ) &gt; 0
))</f>
        <v>0</v>
      </c>
      <c r="K28" s="218" cm="1">
        <f t="array" ref="K28">SUMPRODUCT(
    --((ISNUMBER(SEARCH("A,", 'Inventory - Public Private FMS'!$H$165:$H$1792))) +
      (ISNUMBER(SEARCH("A",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28" s="218" cm="1">
        <f t="array" ref="L28">SUMPRODUCT(
    --((ISNUMBER(SEARCH("A,", 'Inventory - Public Private FMS'!$H$165:$H$1792))) +
      (ISNUMBER(SEARCH("A", 'Inventory - Public Private FMS'!$H$165:$H$1792))) &gt; 0),
    --(ISNUMBER(SEARCH("Private", 'Inventory - Public Private FMS'!$L$165:$L$1792))),
    --(
        (ISNUMBER(SEARCH("Cereals", 'Inventory - Public Private FMS'!$F$165:$F$1792))) +
        (ISNUMBER(SEARCH("All food commodities", 'Inventory - Public Private FMS'!$F$165:$F$1792))
    ) &gt; 0
))</f>
        <v>0</v>
      </c>
    </row>
    <row r="29" spans="2:12">
      <c r="B29" s="280" t="s">
        <v>364</v>
      </c>
      <c r="C29" s="280" t="s">
        <v>3953</v>
      </c>
      <c r="D29" s="216" cm="1">
        <f t="array" ref="D29">SUMPRODUCT(
--((ISNUMBER(SEARCH("B,",'Inventory - Public Private FMS'!$H$165:$H$1792)))+
(ISNUMBER(SEARCH("B",'Inventory - Public Private FMS'!$H$165:$H$1792)))&gt;0))</f>
        <v>626</v>
      </c>
      <c r="E29" s="218" cm="1">
        <f t="array" ref="E29">SUMPRODUCT(
    --((ISNUMBER(SEARCH("B,", 'Inventory - Public Private FMS'!$H$165:$H$1792))) +
      (ISNUMBER(SEARCH("B", 'Inventory - Public Private FMS'!$H$165:$H$1792))) &gt; 0),
    --(
        (ISNUMBER(SEARCH("Fruits", 'Inventory - Public Private FMS'!$F$165:$F$1792))) +
        (ISNUMBER(SEARCH("Vegetables", 'Inventory - Public Private FMS'!$F$165:$F$1792))) +
        (ISNUMBER(SEARCH("All food commodities", 'Inventory - Public Private FMS'!$F$165:$F$1792))
    ) &gt; 0
))</f>
        <v>302</v>
      </c>
      <c r="F29" s="218" cm="1">
        <f t="array" ref="F29">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33</v>
      </c>
      <c r="G29" s="218" cm="1">
        <f t="array" ref="G29">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32</v>
      </c>
      <c r="H29" s="218" cm="1">
        <f t="array" ref="H29">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213</v>
      </c>
      <c r="I29" s="218" cm="1">
        <f t="array" ref="I29">SUMPRODUCT(
    --((ISNUMBER(SEARCH("B,", 'Inventory - Public Private FMS'!$H$165:$H$1792))) +
      (ISNUMBER(SEARCH("B",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269</v>
      </c>
      <c r="J29" s="218" cm="1">
        <f t="array" ref="J29">SUMPRODUCT(
    --((ISNUMBER(SEARCH("B,", 'Inventory - Public Private FMS'!$H$165:$H$1792))) +
      (ISNUMBER(SEARCH("B", 'Inventory - Public Private FMS'!$H$165:$H$1792))) &gt; 0),
    --(
        (ISNUMBER(SEARCH("Eggs", 'Inventory - Public Private FMS'!$F$165:$F$1792))) +
        (ISNUMBER(SEARCH("All food commodities", 'Inventory - Public Private FMS'!$F$165:$F$1792))
    ) &gt; 0
))</f>
        <v>19</v>
      </c>
      <c r="K29" s="218" cm="1">
        <f t="array" ref="K29">SUMPRODUCT(
    --((ISNUMBER(SEARCH("B,", 'Inventory - Public Private FMS'!$H$165:$H$1792))) +
      (ISNUMBER(SEARCH("B", 'Inventory - Public Private FMS'!$H$165:$H$1792))) &gt; 0),
    --(
        (ISNUMBER(SEARCH("Fish", 'Inventory - Public Private FMS'!$F$165:$F$1792))) +
        (ISNUMBER(SEARCH("Aquaculture", 'Inventory - Public Private FMS'!$F$165:$F$1792))) +
        (ISNUMBER(SEARCH("All food commodities", 'Inventory - Public Private FMS'!$F$165:$F$1792))
    ) &gt; 0
))</f>
        <v>37</v>
      </c>
      <c r="L29" s="218" cm="1">
        <f t="array" ref="L29">SUMPRODUCT(
    --((ISNUMBER(SEARCH("B,", 'Inventory - Public Private FMS'!$H$165:$H$1792))) +
      (ISNUMBER(SEARCH("B", 'Inventory - Public Private FMS'!$H$165:$H$1792))) &gt; 0),
    --(
        (ISNUMBER(SEARCH("Cereals", 'Inventory - Public Private FMS'!$F$165:$F$1792))) +
        (ISNUMBER(SEARCH("All food commodities", 'Inventory - Public Private FMS'!$F$165:$F$1792))
    ) &gt; 0
))</f>
        <v>10</v>
      </c>
    </row>
    <row r="30" spans="2:12">
      <c r="C30" t="s">
        <v>263</v>
      </c>
      <c r="D30" s="216" t="e" cm="1">
        <f t="array" ref="D30">SUMPRODUCT(
    --((ISNUMBER(SEARCH("B,", 'Inventory - Public Private FMS'!$H$165:$H$1792)) +
        ISNUMBER(SEARCH("B", 'Inventory - Public Private FMS'!$H$165:$H$1792))) &gt; 0),
    --(ISNUMBER(SEARCH("EU", 'Inventory - Public Private FMS'!#REF!)))
)</f>
        <v>#VALUE!</v>
      </c>
      <c r="E30" s="218" t="e" cm="1">
        <f t="array" ref="E30">SUMPRODUCT(
    --((ISNUMBER(SEARCH("B,", 'Inventory - Public Private FMS'!$H$165:$H$1792))) +
      (ISNUMBER(SEARCH("B",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30" s="218" t="e" cm="1">
        <f t="array" ref="F30">SUMPRODUCT(
    --((ISNUMBER(SEARCH("B,", 'Inventory - Public Private FMS'!$H$165:$H$1792))) +
      (ISNUMBER(SEARCH("B",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30" s="218" t="e" cm="1">
        <f t="array" ref="G30">SUMPRODUCT(
    --((ISNUMBER(SEARCH("B,", 'Inventory - Public Private FMS'!$H$165:$H$1792))) +
      (ISNUMBER(SEARCH("B",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0" s="218" t="e" cm="1">
        <f t="array" ref="H30">SUMPRODUCT(
    --((ISNUMBER(SEARCH("B,", 'Inventory - Public Private FMS'!$H$165:$H$1792))) +
      (ISNUMBER(SEARCH("B",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30" s="218" t="e" cm="1">
        <f t="array" ref="I30">SUMPRODUCT(
    --((ISNUMBER(SEARCH("B,", 'Inventory - Public Private FMS'!$H$165:$H$1792))) +
      (ISNUMBER(SEARCH("B",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30" s="218" t="e" cm="1">
        <f t="array" ref="J30">SUMPRODUCT(
    --((ISNUMBER(SEARCH("B,", 'Inventory - Public Private FMS'!$H$165:$H$1792))) +
      (ISNUMBER(SEARCH("B", 'Inventory - Public Private FMS'!$H$165:$H$1792))) &gt; 0),
    --(ISNUMBER(SEARCH("EU", 'Inventory - Public Private FMS'!#REF!))),
    --(
        (ISNUMBER(SEARCH("Eggs", 'Inventory - Public Private FMS'!$F$165:$F$1792))) +
        (ISNUMBER(SEARCH("All food commodities", 'Inventory - Public Private FMS'!$F$165:$F$1792))
    ) &gt; 0))</f>
        <v>#VALUE!</v>
      </c>
      <c r="K30" s="218" t="e" cm="1">
        <f t="array" ref="K30">SUMPRODUCT(
    --((ISNUMBER(SEARCH("B,", 'Inventory - Public Private FMS'!$H$165:$H$1792))) +
      (ISNUMBER(SEARCH("B",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30" s="218" t="e" cm="1">
        <f t="array" ref="L30">SUMPRODUCT(
    --((ISNUMBER(SEARCH("B,", 'Inventory - Public Private FMS'!$H$165:$H$1792))) +
      (ISNUMBER(SEARCH("B", 'Inventory - Public Private FMS'!$H$165:$H$1792))) &gt; 0),
    --(ISNUMBER(SEARCH("EU", 'Inventory - Public Private FMS'!#REF!))),
    --(
        (ISNUMBER(SEARCH("Cereals", 'Inventory - Public Private FMS'!$F$165:$F$1792))) +
        (ISNUMBER(SEARCH("All food commodities", 'Inventory - Public Private FMS'!$F$165:$F$1792))
    ) &gt; 0
))</f>
        <v>#VALUE!</v>
      </c>
    </row>
    <row r="31" spans="2:12">
      <c r="C31" t="s">
        <v>3928</v>
      </c>
      <c r="D31" s="216" t="e" cm="1">
        <f t="array" ref="D31">SUMPRODUCT(
    --((ISNUMBER(SEARCH("B,", 'Inventory - Public Private FMS'!$H$165:$H$1792)) +
        ISNUMBER(SEARCH("B", 'Inventory - Public Private FMS'!$H$165:$H$1792))) &gt; 0),
    --(ISNUMBER(SEARCH("OECD", 'Inventory - Public Private FMS'!#REF!)))
)</f>
        <v>#VALUE!</v>
      </c>
      <c r="E31" s="218" t="e" cm="1">
        <f t="array" ref="E31">SUMPRODUCT(
    --((ISNUMBER(SEARCH("B,", 'Inventory - Public Private FMS'!$H$165:$H$1792))) +
      (ISNUMBER(SEARCH("B",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31" s="218" t="e" cm="1">
        <f t="array" ref="F31">SUMPRODUCT(
    --((ISNUMBER(SEARCH("B,", 'Inventory - Public Private FMS'!$H$165:$H$1792))) +
      (ISNUMBER(SEARCH("B",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31" s="218" t="e" cm="1">
        <f t="array" ref="G31">SUMPRODUCT(
    --((ISNUMBER(SEARCH("B,", 'Inventory - Public Private FMS'!$H$165:$H$1792))) +
      (ISNUMBER(SEARCH("B",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1" s="218" t="e" cm="1">
        <f t="array" ref="H31">SUMPRODUCT(
    --((ISNUMBER(SEARCH("B,", 'Inventory - Public Private FMS'!$H$165:$H$1792))) +
      (ISNUMBER(SEARCH("B",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31" s="218" t="e" cm="1">
        <f t="array" ref="I31">SUMPRODUCT(
    --((ISNUMBER(SEARCH("B,", 'Inventory - Public Private FMS'!$H$165:$H$1792))) +
      (ISNUMBER(SEARCH("B",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31" s="218" t="e" cm="1">
        <f t="array" ref="J31">SUMPRODUCT(
    --((ISNUMBER(SEARCH("B,", 'Inventory - Public Private FMS'!$H$165:$H$1792))) +
      (ISNUMBER(SEARCH("B", 'Inventory - Public Private FMS'!$H$165:$H$1792))) &gt; 0),
    --(ISNUMBER(SEARCH("OECD", 'Inventory - Public Private FMS'!#REF!))),
    --(
        (ISNUMBER(SEARCH("Eggs", 'Inventory - Public Private FMS'!$F$165:$F$1792))) +
        (ISNUMBER(SEARCH("All food commodities", 'Inventory - Public Private FMS'!$F$165:$F$1792))
    ) &gt; 0
))</f>
        <v>#VALUE!</v>
      </c>
      <c r="K31" s="218" t="e" cm="1">
        <f t="array" ref="K31">SUMPRODUCT(
    --((ISNUMBER(SEARCH("B,", 'Inventory - Public Private FMS'!$H$165:$H$1792))) +
      (ISNUMBER(SEARCH("B",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31" s="218" t="e" cm="1">
        <f t="array" ref="L31">SUMPRODUCT(
    --((ISNUMBER(SEARCH("B,", 'Inventory - Public Private FMS'!$H$165:$H$1792))) +
      (ISNUMBER(SEARCH("B", 'Inventory - Public Private FMS'!$H$165:$H$1792))) &gt; 0),
    --(ISNUMBER(SEARCH("OECD", 'Inventory - Public Private FMS'!#REF!))),
    --(
        (ISNUMBER(SEARCH("Cereals", 'Inventory - Public Private FMS'!$F$165:$F$1792))) +
        (ISNUMBER(SEARCH("All food commodities", 'Inventory - Public Private FMS'!$F$165:$F$1792))
    ) &gt; 0
))</f>
        <v>#VALUE!</v>
      </c>
    </row>
    <row r="32" spans="2:12">
      <c r="C32" t="s">
        <v>3926</v>
      </c>
      <c r="D32" s="216" t="e" cm="1">
        <f t="array" ref="D32">SUMPRODUCT(
    --((ISNUMBER(SEARCH("B,", 'Inventory - Public Private FMS'!$H$165:$H$1792)) +
        ISNUMBER(SEARCH("B", 'Inventory - Public Private FMS'!$H$165:$H$1792))) &gt; 0),
    --(ISNUMBER(SEARCH("UNECE", 'Inventory - Public Private FMS'!#REF!)))
)</f>
        <v>#VALUE!</v>
      </c>
      <c r="E32" s="218" t="e" cm="1">
        <f t="array" ref="E32">SUMPRODUCT(
    --((ISNUMBER(SEARCH("B,", 'Inventory - Public Private FMS'!$H$165:$H$1792))) +
      (ISNUMBER(SEARCH("B",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32" s="218" t="e" cm="1">
        <f t="array" ref="F32">SUMPRODUCT(
    --((ISNUMBER(SEARCH("B,", 'Inventory - Public Private FMS'!$H$165:$H$1792))) +
      (ISNUMBER(SEARCH("B",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32" s="218" t="e" cm="1">
        <f t="array" ref="G32">SUMPRODUCT(
    --((ISNUMBER(SEARCH("B,", 'Inventory - Public Private FMS'!$H$165:$H$1792))) +
      (ISNUMBER(SEARCH("B",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2" s="218" t="e" cm="1">
        <f t="array" ref="H32">SUMPRODUCT(
    --((ISNUMBER(SEARCH("B,", 'Inventory - Public Private FMS'!$H$165:$H$1792))) +
      (ISNUMBER(SEARCH("B",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32" s="218" t="e" cm="1">
        <f t="array" ref="I32">SUMPRODUCT(
    --((ISNUMBER(SEARCH("B,", 'Inventory - Public Private FMS'!$H$165:$H$1792))) +
      (ISNUMBER(SEARCH("B",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32" s="218" t="e" cm="1">
        <f t="array" ref="J32">SUMPRODUCT(
    --((ISNUMBER(SEARCH("B,", 'Inventory - Public Private FMS'!$H$165:$H$1792))) +
      (ISNUMBER(SEARCH("B", 'Inventory - Public Private FMS'!$H$165:$H$1792))) &gt; 0),
    --(ISNUMBER(SEARCH("UNECE", 'Inventory - Public Private FMS'!#REF!))),
     --(
        (ISNUMBER(SEARCH("Eggs", 'Inventory - Public Private FMS'!$F$165:$F$1792))) +
        (ISNUMBER(SEARCH("All food commodities", 'Inventory - Public Private FMS'!$F$165:$F$1792))
    ) &gt; 0
))</f>
        <v>#VALUE!</v>
      </c>
      <c r="K32" s="218" t="e" cm="1">
        <f t="array" ref="K32">SUMPRODUCT(
    --((ISNUMBER(SEARCH("B,", 'Inventory - Public Private FMS'!$H$165:$H$1792))) +
      (ISNUMBER(SEARCH("B",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32" s="218" t="e" cm="1">
        <f t="array" ref="L32">SUMPRODUCT(
    --((ISNUMBER(SEARCH("B,", 'Inventory - Public Private FMS'!$H$165:$H$1792))) +
      (ISNUMBER(SEARCH("B", 'Inventory - Public Private FMS'!$H$165:$H$1792))) &gt; 0),
    --(ISNUMBER(SEARCH("UNECE", 'Inventory - Public Private FMS'!#REF!))),
    --(
        (ISNUMBER(SEARCH("Cereals", 'Inventory - Public Private FMS'!$F$165:$F$1792))) +
        (ISNUMBER(SEARCH("All food commodities", 'Inventory - Public Private FMS'!$F$165:$F$1792))
    ) &gt; 0
))</f>
        <v>#VALUE!</v>
      </c>
    </row>
    <row r="33" spans="2:12">
      <c r="C33" t="s">
        <v>3930</v>
      </c>
      <c r="D33" s="216" t="e" cm="1">
        <f t="array" ref="D33">SUMPRODUCT(
    --((ISNUMBER(SEARCH("B,", 'Inventory - Public Private FMS'!$H$165:$H$1792)) +
        ISNUMBER(SEARCH("B", 'Inventory - Public Private FMS'!$H$165:$H$1792))) &gt; 0),
    --(ISNUMBER(SEARCH("Codex Alimentarius", 'Inventory - Public Private FMS'!#REF!)))
)</f>
        <v>#VALUE!</v>
      </c>
      <c r="E33" s="218" t="e" cm="1">
        <f t="array" ref="E33">SUMPRODUCT(
    --((ISNUMBER(SEARCH("B,", 'Inventory - Public Private FMS'!$H$165:$H$1792))) +
      (ISNUMBER(SEARCH("B",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33" s="218" t="e" cm="1">
        <f t="array" ref="F33">SUMPRODUCT(
    --((ISNUMBER(SEARCH("B,", 'Inventory - Public Private FMS'!$H$165:$H$1792))) +
      (ISNUMBER(SEARCH("B",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33" s="218" t="e" cm="1">
        <f t="array" ref="G33">SUMPRODUCT(
    --((ISNUMBER(SEARCH("B,", 'Inventory - Public Private FMS'!$H$165:$H$1792))) +
      (ISNUMBER(SEARCH("B",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3" s="218" t="e" cm="1">
        <f t="array" ref="H33">SUMPRODUCT(
    --((ISNUMBER(SEARCH("B,", 'Inventory - Public Private FMS'!$H$165:$H$1792))) +
      (ISNUMBER(SEARCH("B",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33" s="218" t="e" cm="1">
        <f t="array" ref="I33">SUMPRODUCT(
    --((ISNUMBER(SEARCH("B,", 'Inventory - Public Private FMS'!$H$165:$H$1792))) +
      (ISNUMBER(SEARCH("B",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33" s="218" t="e" cm="1">
        <f t="array" ref="J33">SUMPRODUCT(
    --((ISNUMBER(SEARCH("B,", 'Inventory - Public Private FMS'!$H$165:$H$1792))) +
      (ISNUMBER(SEARCH("B", 'Inventory - Public Private FMS'!$H$165:$H$1792))) &gt; 0),
    --(ISNUMBER(SEARCH("Codex Alimentarius", 'Inventory - Public Private FMS'!#REF!))),
    --(
        (ISNUMBER(SEARCH("Eggs", 'Inventory - Public Private FMS'!$F$165:$F$1792))) +
        (ISNUMBER(SEARCH("All food commodities", 'Inventory - Public Private FMS'!$F$165:$F$1792))
    ) &gt; 0
))</f>
        <v>#VALUE!</v>
      </c>
      <c r="K33" s="218" t="e" cm="1">
        <f t="array" ref="K33">SUMPRODUCT(
    --((ISNUMBER(SEARCH("B,", 'Inventory - Public Private FMS'!$H$165:$H$1792))) +
      (ISNUMBER(SEARCH("B",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33" s="218" t="e" cm="1">
        <f t="array" ref="L33">SUMPRODUCT(
    --((ISNUMBER(SEARCH("B,", 'Inventory - Public Private FMS'!$H$165:$H$1792))) +
      (ISNUMBER(SEARCH("B", 'Inventory - Public Private FMS'!$H$165:$H$1792))) &gt; 0),
    --(ISNUMBER(SEARCH("Codex Alimentarius", 'Inventory - Public Private FMS'!#REF!))),
    --(
        (ISNUMBER(SEARCH("Cereals", 'Inventory - Public Private FMS'!$F$165:$F$1792))) +
        (ISNUMBER(SEARCH("All food commodities", 'Inventory - Public Private FMS'!$F$165:$F$1792))
    ) &gt; 0
))</f>
        <v>#VALUE!</v>
      </c>
    </row>
    <row r="34" spans="2:12">
      <c r="C34" t="s">
        <v>2405</v>
      </c>
      <c r="D34" s="216" cm="1">
        <f t="array" ref="D34">SUMPRODUCT(
    --((ISNUMBER(SEARCH("B,", 'Inventory - Public Private FMS'!$H$165:$H$1792)) +
        ISNUMBER(SEARCH("B", 'Inventory - Public Private FMS'!$H$165:$H$1792))) &gt; 0),
    --(ISNUMBER(SEARCH("Label Rouge", 'Inventory - Public Private FMS'!$P$165:$P$1792)))
)</f>
        <v>329</v>
      </c>
      <c r="E34" s="218" cm="1">
        <f t="array" ref="E34">SUMPRODUCT(
    --((ISNUMBER(SEARCH("B,", 'Inventory - Public Private FMS'!$H$165:$H$1792))) +
      (ISNUMBER(SEARCH("B",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34" s="218" cm="1">
        <f t="array" ref="F34">SUMPRODUCT(
    --((ISNUMBER(SEARCH("B,", 'Inventory - Public Private FMS'!$H$165:$H$1792))) +
      (ISNUMBER(SEARCH("B",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34" s="218" cm="1">
        <f t="array" ref="G34">SUMPRODUCT(
    --((ISNUMBER(SEARCH("B,", 'Inventory - Public Private FMS'!$H$165:$H$1792))) +
      (ISNUMBER(SEARCH("B",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34" s="218" cm="1">
        <f t="array" ref="H34">SUMPRODUCT(
    --((ISNUMBER(SEARCH("B,", 'Inventory - Public Private FMS'!$H$165:$H$1792))) +
      (ISNUMBER(SEARCH("B",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34" s="218" cm="1">
        <f t="array" ref="I34">SUMPRODUCT(
    --((ISNUMBER(SEARCH("B,", 'Inventory - Public Private FMS'!$H$165:$H$1792))) +
      (ISNUMBER(SEARCH("B",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34" s="218" cm="1">
        <f t="array" ref="J34">SUMPRODUCT(
    --((ISNUMBER(SEARCH("B,", 'Inventory - Public Private FMS'!$H$165:$H$1792))) +
      (ISNUMBER(SEARCH("B", 'Inventory - Public Private FMS'!$H$165:$H$1792))) &gt; 0),
    --(ISNUMBER(SEARCH("Label Rouge", 'Inventory - Public Private FMS'!$P$165:$P$1792))),
    --(
        (ISNUMBER(SEARCH("Eggs", 'Inventory - Public Private FMS'!$F$165:$F$1792))) +
        (ISNUMBER(SEARCH("All food commodities", 'Inventory - Public Private FMS'!$F$165:$F$1792))
    ) &gt; 0
))</f>
        <v>14</v>
      </c>
      <c r="K34" s="218" cm="1">
        <f t="array" ref="K34">SUMPRODUCT(
    --((ISNUMBER(SEARCH("B,", 'Inventory - Public Private FMS'!$H$165:$H$1792))) +
      (ISNUMBER(SEARCH("B",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20</v>
      </c>
      <c r="L34" s="218" cm="1">
        <f t="array" ref="L34">SUMPRODUCT(
    --((ISNUMBER(SEARCH("B,", 'Inventory - Public Private FMS'!$H$165:$H$1792))) +
      (ISNUMBER(SEARCH("B", 'Inventory - Public Private FMS'!$H$165:$H$1792))) &gt; 0),
    --(ISNUMBER(SEARCH("Label Rouge", 'Inventory - Public Private FMS'!$P$165:$P$1792))),
    --(
        (ISNUMBER(SEARCH("Cereals", 'Inventory - Public Private FMS'!$F$165:$F$1792))) +
        (ISNUMBER(SEARCH("All food commodities", 'Inventory - Public Private FMS'!$F$165:$F$1792))
    ) &gt; 0
))</f>
        <v>7</v>
      </c>
    </row>
    <row r="35" spans="2:12">
      <c r="C35" t="s">
        <v>3964</v>
      </c>
      <c r="D35" s="216" t="e" cm="1">
        <f t="array" ref="D35">SUMPRODUCT(
    --((ISNUMBER(SEARCH("B,", 'Inventory - Public Private FMS'!$H$165:$H$1792)) +
        ISNUMBER(SEARCH("B",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35" s="283" t="e" cm="1">
        <f t="array" ref="E35">SUMPRODUCT(
    --((ISNUMBER(SEARCH("B,", 'Inventory - Public Private FMS'!$H$165:$H$1792)) +
        ISNUMBER(SEARCH("B",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35" s="283" t="e" cm="1">
        <f t="array" ref="F35">SUMPRODUCT(
--((ISNUMBER(SEARCH("B,",'Inventory - Public Private FMS'!$H$165:$H$1792))+
ISNUMBER(SEARCH("B",'Inventory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35" s="283" t="e" cm="1">
        <f t="array" ref="G35">SUMPRODUCT(
--((ISNUMBER(SEARCH("B,",'Inventory - Public Private FMS'!$H$165:$H$1792))+
ISNUMBER(SEARCH("B",'Inventory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5" s="283" t="e" cm="1">
        <f t="array" ref="H35">SUMPRODUCT(
--((ISNUMBER(SEARCH("B,",'Inventory - Public Private FMS'!$H$165:$H$1792))+
ISNUMBER(SEARCH("B",'Inventory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35" s="283" t="e" cm="1">
        <f t="array" ref="I35">SUMPRODUCT(
--((ISNUMBER(SEARCH("B,",'Inventory - Public Private FMS'!$H$165:$H$1792))+
ISNUMBER(SEARCH("B",'Inventory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35" s="283" t="e" cm="1">
        <f t="array" ref="J35">SUMPRODUCT(
    --((ISNUMBER(SEARCH("B,", 'Inventory - Public Private FMS'!$H$165:$H$1792)) +
        ISNUMBER(SEARCH("B",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35" s="283" t="e" cm="1">
        <f t="array" ref="K35">SUMPRODUCT(
    --((ISNUMBER(SEARCH("B,", 'Inventory - Public Private FMS'!$H$165:$H$1792)) +
        ISNUMBER(SEARCH("B",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35" s="283" t="e" cm="1">
        <f t="array" ref="L35">SUMPRODUCT(
    --((ISNUMBER(SEARCH("B,", 'Inventory - Public Private FMS'!$H$165:$H$1792)) +
        ISNUMBER(SEARCH("B",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36" spans="2:12">
      <c r="C36" t="s">
        <v>3965</v>
      </c>
      <c r="D36" s="216" cm="1">
        <f t="array" ref="D36">SUMPRODUCT(
    --((ISNUMBER(SEARCH("B,", 'Inventory - Public Private FMS'!$H$165:$H$1792)) +
        ISNUMBER(SEARCH("B", 'Inventory - Public Private FMS'!$H$165:$H$1792))) &gt; 0),
    --(ISNUMBER(SEARCH("Private", 'Inventory - Public Private FMS'!$L$165:$L$1792)))
)</f>
        <v>0</v>
      </c>
      <c r="E36" s="218" cm="1">
        <f t="array" ref="E36">SUMPRODUCT(
    --((ISNUMBER(SEARCH("B,", 'Inventory - Public Private FMS'!$H$165:$H$1792))) +
      (ISNUMBER(SEARCH("B",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36" s="218" cm="1">
        <f t="array" ref="F36">SUMPRODUCT(
    --((ISNUMBER(SEARCH("B,", 'Inventory - Public Private FMS'!$H$165:$H$1792))) +
      (ISNUMBER(SEARCH("B",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36" s="218" cm="1">
        <f t="array" ref="G36">SUMPRODUCT(
    --((ISNUMBER(SEARCH("B,", 'Inventory - Public Private FMS'!$H$165:$H$1792))) +
      (ISNUMBER(SEARCH("B",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36" s="218" cm="1">
        <f t="array" ref="H36">SUMPRODUCT(
    --((ISNUMBER(SEARCH("B,", 'Inventory - Public Private FMS'!$H$165:$H$1792))) +
      (ISNUMBER(SEARCH("B",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36" s="218" cm="1">
        <f t="array" ref="I36">SUMPRODUCT(
    --((ISNUMBER(SEARCH("B,", 'Inventory - Public Private FMS'!$H$165:$H$1792))) +
      (ISNUMBER(SEARCH("B",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36" s="218" cm="1">
        <f t="array" ref="J36">SUMPRODUCT(
    --((ISNUMBER(SEARCH("B,", 'Inventory - Public Private FMS'!$H$165:$H$1792))) +
      (ISNUMBER(SEARCH("B", 'Inventory - Public Private FMS'!$H$165:$H$1792))) &gt; 0),
    --(ISNUMBER(SEARCH("Private", 'Inventory - Public Private FMS'!$L$165:$L$1792))),
    --(
        (ISNUMBER(SEARCH("Eggs", 'Inventory - Public Private FMS'!$F$165:$F$1792))) +
        (ISNUMBER(SEARCH("All food commodities", 'Inventory - Public Private FMS'!$F$165:$F$1792))
    ) &gt; 0
))</f>
        <v>0</v>
      </c>
      <c r="K36" s="218" cm="1">
        <f t="array" ref="K36">SUMPRODUCT(
    --((ISNUMBER(SEARCH("B,", 'Inventory - Public Private FMS'!$H$165:$H$1792))) +
      (ISNUMBER(SEARCH("B",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36" s="218" cm="1">
        <f t="array" ref="L36">SUMPRODUCT(
    --((ISNUMBER(SEARCH("B,", 'Inventory - Public Private FMS'!$H$165:$H$1792))) +
      (ISNUMBER(SEARCH("B", 'Inventory - Public Private FMS'!$H$165:$H$1792))) &gt; 0),
    --(ISNUMBER(SEARCH("Private", 'Inventory - Public Private FMS'!$L$165:$L$1792))),
    --(
        (ISNUMBER(SEARCH("Cereals", 'Inventory - Public Private FMS'!$F$165:$F$1792))) +
        (ISNUMBER(SEARCH("All food commodities", 'Inventory - Public Private FMS'!$F$165:$F$1792))
    ) &gt; 0
))</f>
        <v>0</v>
      </c>
    </row>
    <row r="37" spans="2:12">
      <c r="B37" s="280" t="s">
        <v>2331</v>
      </c>
      <c r="C37" s="280" t="s">
        <v>3954</v>
      </c>
      <c r="D37" s="216" cm="1">
        <f t="array" ref="D37">SUMPRODUCT(
--((ISNUMBER(SEARCH("C,",'Inventory - Public Private FMS'!$H$165:$H$1792)))+
(ISNUMBER(SEARCH("C",'Inventory - Public Private FMS'!$H$165:$H$1792)))&gt;0))</f>
        <v>88</v>
      </c>
      <c r="E37" s="218" cm="1">
        <f t="array" ref="E37">SUMPRODUCT(
    --((ISNUMBER(SEARCH("C,", 'Inventory - Public Private FMS'!$H$165:$H$1792))) +
      (ISNUMBER(SEARCH("C", 'Inventory - Public Private FMS'!$H$165:$H$1792))) &gt; 0),
    --(
        (ISNUMBER(SEARCH("Fruits", 'Inventory - Public Private FMS'!$F$165:$F$1792))) +
        (ISNUMBER(SEARCH("Vegetables", 'Inventory - Public Private FMS'!$F$165:$F$1792))) +
        (ISNUMBER(SEARCH("All food commodities", 'Inventory - Public Private FMS'!$F$165:$F$1792))
    ) &gt; 0
))</f>
        <v>51</v>
      </c>
      <c r="F37" s="218" cm="1">
        <f t="array" ref="F3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10</v>
      </c>
      <c r="G37" s="218" cm="1">
        <f t="array" ref="G3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9</v>
      </c>
      <c r="H37" s="218" cm="1">
        <f t="array" ref="H3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8</v>
      </c>
      <c r="I37" s="218" cm="1">
        <f t="array" ref="I37">SUMPRODUCT(
    --((ISNUMBER(SEARCH("C,", 'Inventory - Public Private FMS'!$H$165:$H$1792))) +
      (ISNUMBER(SEARCH("C",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10</v>
      </c>
      <c r="J37" s="218" cm="1">
        <f t="array" ref="J37">SUMPRODUCT(
    --((ISNUMBER(SEARCH("C,", 'Inventory - Public Private FMS'!$H$165:$H$1792))) +
      (ISNUMBER(SEARCH("C", 'Inventory - Public Private FMS'!$H$165:$H$1792))) &gt; 0),
    --(
        (ISNUMBER(SEARCH("Eggs", 'Inventory - Public Private FMS'!$F$165:$F$1792))) +
        (ISNUMBER(SEARCH("All food commodities", 'Inventory - Public Private FMS'!$F$165:$F$1792))
    ) &gt; 0
))</f>
        <v>5</v>
      </c>
      <c r="K37" s="218" cm="1">
        <f t="array" ref="K37">SUMPRODUCT(
    --((ISNUMBER(SEARCH("C,", 'Inventory - Public Private FMS'!$H$165:$H$1792))) +
      (ISNUMBER(SEARCH("C", 'Inventory - Public Private FMS'!$H$165:$H$1792))) &gt; 0),
    --(
        (ISNUMBER(SEARCH("Fish", 'Inventory - Public Private FMS'!$F$165:$F$1792))) +
        (ISNUMBER(SEARCH("Aquaculture", 'Inventory - Public Private FMS'!$F$165:$F$1792))) +
        (ISNUMBER(SEARCH("All food commodities", 'Inventory - Public Private FMS'!$F$165:$F$1792))
    ) &gt; 0
))</f>
        <v>17</v>
      </c>
      <c r="L37" s="218" cm="1">
        <f t="array" ref="L37">SUMPRODUCT(
    --((ISNUMBER(SEARCH("C,", 'Inventory - Public Private FMS'!$H$165:$H$1792))) +
      (ISNUMBER(SEARCH("C", 'Inventory - Public Private FMS'!$H$165:$H$1792))) &gt; 0),
    --(
        (ISNUMBER(SEARCH("Cereals", 'Inventory - Public Private FMS'!$F$165:$F$1792))) +
        (ISNUMBER(SEARCH("All food commodities", 'Inventory - Public Private FMS'!$F$165:$F$1792))
    ) &gt; 0
))</f>
        <v>21</v>
      </c>
    </row>
    <row r="38" spans="2:12">
      <c r="C38" t="s">
        <v>263</v>
      </c>
      <c r="D38" s="216" t="e" cm="1">
        <f t="array" ref="D38">SUMPRODUCT(
    --((ISNUMBER(SEARCH("C,", 'Inventory - Public Private FMS'!$H$165:$H$1792)) +
        ISNUMBER(SEARCH("C", 'Inventory - Public Private FMS'!$H$165:$H$1792))) &gt; 0),
    --(ISNUMBER(SEARCH("EU", 'Inventory - Public Private FMS'!#REF!)))
)</f>
        <v>#VALUE!</v>
      </c>
      <c r="E38" s="218" t="e" cm="1">
        <f t="array" ref="E38">SUMPRODUCT(
    --((ISNUMBER(SEARCH("C,", 'Inventory - Public Private FMS'!$H$165:$H$1792))) +
      (ISNUMBER(SEARCH("C",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38" s="218" t="e" cm="1">
        <f t="array" ref="F38">SUMPRODUCT(
    --((ISNUMBER(SEARCH("C,", 'Inventory - Public Private FMS'!$H$165:$H$1792))) +
      (ISNUMBER(SEARCH("C",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38" s="218" t="e" cm="1">
        <f t="array" ref="G38">SUMPRODUCT(
    --((ISNUMBER(SEARCH("C,", 'Inventory - Public Private FMS'!$H$165:$H$1792))) +
      (ISNUMBER(SEARCH("C",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8" s="218" t="e" cm="1">
        <f t="array" ref="H38">SUMPRODUCT(
    --((ISNUMBER(SEARCH("C,", 'Inventory - Public Private FMS'!$H$165:$H$1792))) +
      (ISNUMBER(SEARCH("C",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38" s="218" t="e" cm="1">
        <f t="array" ref="I38">SUMPRODUCT(
    --((ISNUMBER(SEARCH("C,", 'Inventory - Public Private FMS'!$H$165:$H$1792))) +
      (ISNUMBER(SEARCH("C",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38" s="218" t="e" cm="1">
        <f t="array" ref="J38">SUMPRODUCT(
    --((ISNUMBER(SEARCH("C,", 'Inventory - Public Private FMS'!$H$165:$H$1792))) +
      (ISNUMBER(SEARCH("C", 'Inventory - Public Private FMS'!$H$165:$H$1792))) &gt; 0),
    --(ISNUMBER(SEARCH("EU", 'Inventory - Public Private FMS'!#REF!))),
    --(
        (ISNUMBER(SEARCH("Eggs", 'Inventory - Public Private FMS'!$F$165:$F$1792))) +
        (ISNUMBER(SEARCH("All food commodities", 'Inventory - Public Private FMS'!$F$165:$F$1792))
    ) &gt; 0))</f>
        <v>#VALUE!</v>
      </c>
      <c r="K38" s="218" t="e" cm="1">
        <f t="array" ref="K38">SUMPRODUCT(
    --((ISNUMBER(SEARCH("C,", 'Inventory - Public Private FMS'!$H$165:$H$1792))) +
      (ISNUMBER(SEARCH("C",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38" s="218" t="e" cm="1">
        <f t="array" ref="L38">SUMPRODUCT(
    --((ISNUMBER(SEARCH("C,", 'Inventory - Public Private FMS'!$H$165:$H$1792))) +
      (ISNUMBER(SEARCH("C", 'Inventory - Public Private FMS'!$H$165:$H$1792))) &gt; 0),
    --(ISNUMBER(SEARCH("EU", 'Inventory - Public Private FMS'!#REF!))),
    --(
        (ISNUMBER(SEARCH("Cereals", 'Inventory - Public Private FMS'!$F$165:$F$1792))) +
        (ISNUMBER(SEARCH("All food commodities", 'Inventory - Public Private FMS'!$F$165:$F$1792))
    ) &gt; 0
))</f>
        <v>#VALUE!</v>
      </c>
    </row>
    <row r="39" spans="2:12">
      <c r="C39" t="s">
        <v>3928</v>
      </c>
      <c r="D39" s="216" t="e" cm="1">
        <f t="array" ref="D39">SUMPRODUCT(
    --((ISNUMBER(SEARCH("C,", 'Inventory - Public Private FMS'!$H$165:$H$1792)) +
        ISNUMBER(SEARCH("C", 'Inventory - Public Private FMS'!$H$165:$H$1792))) &gt; 0),
    --(ISNUMBER(SEARCH("OECD", 'Inventory - Public Private FMS'!#REF!)))
)</f>
        <v>#VALUE!</v>
      </c>
      <c r="E39" s="218" t="e" cm="1">
        <f t="array" ref="E39">SUMPRODUCT(
    --((ISNUMBER(SEARCH("C,", 'Inventory - Public Private FMS'!$H$165:$H$1792))) +
      (ISNUMBER(SEARCH("C",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39" s="218" t="e" cm="1">
        <f t="array" ref="F39">SUMPRODUCT(
    --((ISNUMBER(SEARCH("C,", 'Inventory - Public Private FMS'!$H$165:$H$1792))) +
      (ISNUMBER(SEARCH("C",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39" s="218" t="e" cm="1">
        <f t="array" ref="G39">SUMPRODUCT(
    --((ISNUMBER(SEARCH("C,", 'Inventory - Public Private FMS'!$H$165:$H$1792))) +
      (ISNUMBER(SEARCH("C",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39" s="218" t="e" cm="1">
        <f t="array" ref="H39">SUMPRODUCT(
    --((ISNUMBER(SEARCH("C,", 'Inventory - Public Private FMS'!$H$165:$H$1792))) +
      (ISNUMBER(SEARCH("C",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39" s="218" t="e" cm="1">
        <f t="array" ref="I39">SUMPRODUCT(
    --((ISNUMBER(SEARCH("C,", 'Inventory - Public Private FMS'!$H$165:$H$1792))) +
      (ISNUMBER(SEARCH("C",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39" s="218" t="e" cm="1">
        <f t="array" ref="J39">SUMPRODUCT(
    --((ISNUMBER(SEARCH("C,", 'Inventory - Public Private FMS'!$H$165:$H$1792))) +
      (ISNUMBER(SEARCH("C", 'Inventory - Public Private FMS'!$H$165:$H$1792))) &gt; 0),
    --(ISNUMBER(SEARCH("OECD", 'Inventory - Public Private FMS'!#REF!))),
    --(
        (ISNUMBER(SEARCH("Eggs", 'Inventory - Public Private FMS'!$F$165:$F$1792))) +
        (ISNUMBER(SEARCH("All food commodities", 'Inventory - Public Private FMS'!$F$165:$F$1792))
    ) &gt; 0
))</f>
        <v>#VALUE!</v>
      </c>
      <c r="K39" s="218" t="e" cm="1">
        <f t="array" ref="K39">SUMPRODUCT(
    --((ISNUMBER(SEARCH("C,", 'Inventory - Public Private FMS'!$H$165:$H$1792))) +
      (ISNUMBER(SEARCH("C",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39" s="218" t="e" cm="1">
        <f t="array" ref="L39">SUMPRODUCT(
    --((ISNUMBER(SEARCH("C,", 'Inventory - Public Private FMS'!$H$165:$H$1792))) +
      (ISNUMBER(SEARCH("C", 'Inventory - Public Private FMS'!$H$165:$H$1792))) &gt; 0),
    --(ISNUMBER(SEARCH("OECD", 'Inventory - Public Private FMS'!#REF!))),
    --(
        (ISNUMBER(SEARCH("Cereals", 'Inventory - Public Private FMS'!$F$165:$F$1792))) +
        (ISNUMBER(SEARCH("All food commodities", 'Inventory - Public Private FMS'!$F$165:$F$1792))
    ) &gt; 0
))</f>
        <v>#VALUE!</v>
      </c>
    </row>
    <row r="40" spans="2:12">
      <c r="C40" t="s">
        <v>3926</v>
      </c>
      <c r="D40" s="216" t="e" cm="1">
        <f t="array" ref="D40">SUMPRODUCT(
    --((ISNUMBER(SEARCH("C,", 'Inventory - Public Private FMS'!$H$165:$H$1792)) +
        ISNUMBER(SEARCH("C", 'Inventory - Public Private FMS'!$H$165:$H$1792))) &gt; 0),
    --(ISNUMBER(SEARCH("UNECE", 'Inventory - Public Private FMS'!#REF!)))
)</f>
        <v>#VALUE!</v>
      </c>
      <c r="E40" s="218" t="e" cm="1">
        <f t="array" ref="E40">SUMPRODUCT(
    --((ISNUMBER(SEARCH("C,", 'Inventory - Public Private FMS'!$H$165:$H$1792))) +
      (ISNUMBER(SEARCH("C",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40" s="218" t="e" cm="1">
        <f t="array" ref="F40">SUMPRODUCT(
    --((ISNUMBER(SEARCH("C,", 'Inventory - Public Private FMS'!$H$165:$H$1792))) +
      (ISNUMBER(SEARCH("C",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40" s="218" t="e" cm="1">
        <f t="array" ref="G40">SUMPRODUCT(
    --((ISNUMBER(SEARCH("C,", 'Inventory - Public Private FMS'!$H$165:$H$1792))) +
      (ISNUMBER(SEARCH("C",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0" s="218" t="e" cm="1">
        <f t="array" ref="H40">SUMPRODUCT(
    --((ISNUMBER(SEARCH("C,", 'Inventory - Public Private FMS'!$H$165:$H$1792))) +
      (ISNUMBER(SEARCH("C",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40" s="218" t="e" cm="1">
        <f t="array" ref="I40">SUMPRODUCT(
    --((ISNUMBER(SEARCH("C,", 'Inventory - Public Private FMS'!$H$165:$H$1792))) +
      (ISNUMBER(SEARCH("C",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40" s="218" t="e" cm="1">
        <f t="array" ref="J40">SUMPRODUCT(
    --((ISNUMBER(SEARCH("C,", 'Inventory - Public Private FMS'!$H$165:$H$1792))) +
      (ISNUMBER(SEARCH("C", 'Inventory - Public Private FMS'!$H$165:$H$1792))) &gt; 0),
    --(ISNUMBER(SEARCH("UNECE", 'Inventory - Public Private FMS'!#REF!))),
     --(
        (ISNUMBER(SEARCH("Eggs", 'Inventory - Public Private FMS'!$F$165:$F$1792))) +
        (ISNUMBER(SEARCH("All food commodities", 'Inventory - Public Private FMS'!$F$165:$F$1792))
    ) &gt; 0
))</f>
        <v>#VALUE!</v>
      </c>
      <c r="K40" s="218" t="e" cm="1">
        <f t="array" ref="K40">SUMPRODUCT(
    --((ISNUMBER(SEARCH("C,", 'Inventory - Public Private FMS'!$H$165:$H$1792))) +
      (ISNUMBER(SEARCH("C",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40" s="218" t="e" cm="1">
        <f t="array" ref="L40">SUMPRODUCT(
    --((ISNUMBER(SEARCH("C,", 'Inventory - Public Private FMS'!$H$165:$H$1792))) +
      (ISNUMBER(SEARCH("C", 'Inventory - Public Private FMS'!$H$165:$H$1792))) &gt; 0),
    --(ISNUMBER(SEARCH("UNECE", 'Inventory - Public Private FMS'!#REF!))),
    --(
        (ISNUMBER(SEARCH("Cereals", 'Inventory - Public Private FMS'!$F$165:$F$1792))) +
        (ISNUMBER(SEARCH("All food commodities", 'Inventory - Public Private FMS'!$F$165:$F$1792))
    ) &gt; 0
))</f>
        <v>#VALUE!</v>
      </c>
    </row>
    <row r="41" spans="2:12">
      <c r="C41" t="s">
        <v>3930</v>
      </c>
      <c r="D41" s="216" t="e" cm="1">
        <f t="array" ref="D41">SUMPRODUCT(
    --((ISNUMBER(SEARCH("C,", 'Inventory - Public Private FMS'!$H$165:$H$1792)) +
        ISNUMBER(SEARCH("C", 'Inventory - Public Private FMS'!$H$165:$H$1792))) &gt; 0),
    --(ISNUMBER(SEARCH("Codex Alimentarius", 'Inventory - Public Private FMS'!#REF!)))
)</f>
        <v>#VALUE!</v>
      </c>
      <c r="E41" s="218" t="e" cm="1">
        <f t="array" ref="E41">SUMPRODUCT(
    --((ISNUMBER(SEARCH("C,", 'Inventory - Public Private FMS'!$H$165:$H$1792))) +
      (ISNUMBER(SEARCH("C",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41" s="218" t="e" cm="1">
        <f t="array" ref="F41">SUMPRODUCT(
    --((ISNUMBER(SEARCH("C,", 'Inventory - Public Private FMS'!$H$165:$H$1792))) +
      (ISNUMBER(SEARCH("C",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41" s="218" t="e" cm="1">
        <f t="array" ref="G41">SUMPRODUCT(
    --((ISNUMBER(SEARCH("C,", 'Inventory - Public Private FMS'!$H$165:$H$1792))) +
      (ISNUMBER(SEARCH("C",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1" s="218" t="e" cm="1">
        <f t="array" ref="H41">SUMPRODUCT(
    --((ISNUMBER(SEARCH("C,", 'Inventory - Public Private FMS'!$H$165:$H$1792))) +
      (ISNUMBER(SEARCH("C",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41" s="218" t="e" cm="1">
        <f t="array" ref="I41">SUMPRODUCT(
    --((ISNUMBER(SEARCH("C,", 'Inventory - Public Private FMS'!$H$165:$H$1792))) +
      (ISNUMBER(SEARCH("C",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41" s="218" t="e" cm="1">
        <f t="array" ref="J41">SUMPRODUCT(
    --((ISNUMBER(SEARCH("C,", 'Inventory - Public Private FMS'!$H$165:$H$1792))) +
      (ISNUMBER(SEARCH("C", 'Inventory - Public Private FMS'!$H$165:$H$1792))) &gt; 0),
    --(ISNUMBER(SEARCH("Codex Alimentarius", 'Inventory - Public Private FMS'!#REF!))),
    --(
        (ISNUMBER(SEARCH("Eggs", 'Inventory - Public Private FMS'!$F$165:$F$1792))) +
        (ISNUMBER(SEARCH("All food commodities", 'Inventory - Public Private FMS'!$F$165:$F$1792))
    ) &gt; 0
))</f>
        <v>#VALUE!</v>
      </c>
      <c r="K41" s="218" t="e" cm="1">
        <f t="array" ref="K41">SUMPRODUCT(
    --((ISNUMBER(SEARCH("C,", 'Inventory - Public Private FMS'!$H$165:$H$1792))) +
      (ISNUMBER(SEARCH("C",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41" s="218" t="e" cm="1">
        <f t="array" ref="L41">SUMPRODUCT(
    --((ISNUMBER(SEARCH("C,", 'Inventory - Public Private FMS'!$H$165:$H$1792))) +
      (ISNUMBER(SEARCH("C", 'Inventory - Public Private FMS'!$H$165:$H$1792))) &gt; 0),
    --(ISNUMBER(SEARCH("Codex Alimentarius", 'Inventory - Public Private FMS'!#REF!))),
    --(
        (ISNUMBER(SEARCH("Cereals", 'Inventory - Public Private FMS'!$F$165:$F$1792))) +
        (ISNUMBER(SEARCH("All food commodities", 'Inventory - Public Private FMS'!$F$165:$F$1792))
    ) &gt; 0
))</f>
        <v>#VALUE!</v>
      </c>
    </row>
    <row r="42" spans="2:12">
      <c r="C42" t="s">
        <v>2405</v>
      </c>
      <c r="D42" s="216" cm="1">
        <f t="array" ref="D42">SUMPRODUCT(
    --((ISNUMBER(SEARCH("C,", 'Inventory - Public Private FMS'!$H$165:$H$1792)) +
        ISNUMBER(SEARCH("C", 'Inventory - Public Private FMS'!$H$165:$H$1792))) &gt; 0),
    --(ISNUMBER(SEARCH("Label Rouge", 'Inventory - Public Private FMS'!$P$165:$P$1792)))
)</f>
        <v>0</v>
      </c>
      <c r="E42" s="218" cm="1">
        <f t="array" ref="E42">SUMPRODUCT(
    --((ISNUMBER(SEARCH("C,", 'Inventory - Public Private FMS'!$H$165:$H$1792))) +
      (ISNUMBER(SEARCH("C",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0</v>
      </c>
      <c r="F42" s="218" cm="1">
        <f t="array" ref="F42">SUMPRODUCT(
    --((ISNUMBER(SEARCH("C,", 'Inventory - Public Private FMS'!$H$165:$H$1792))) +
      (ISNUMBER(SEARCH("C",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0</v>
      </c>
      <c r="G42" s="218" cm="1">
        <f t="array" ref="G42">SUMPRODUCT(
    --((ISNUMBER(SEARCH("C,", 'Inventory - Public Private FMS'!$H$165:$H$1792))) +
      (ISNUMBER(SEARCH("C",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0</v>
      </c>
      <c r="H42" s="218" cm="1">
        <f t="array" ref="H42">SUMPRODUCT(
    --((ISNUMBER(SEARCH("C,", 'Inventory - Public Private FMS'!$H$165:$H$1792))) +
      (ISNUMBER(SEARCH("C",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0</v>
      </c>
      <c r="I42" s="218" cm="1">
        <f t="array" ref="I42">SUMPRODUCT(
    --((ISNUMBER(SEARCH("C,", 'Inventory - Public Private FMS'!$H$165:$H$1792))) +
      (ISNUMBER(SEARCH("C",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42" s="218" cm="1">
        <f t="array" ref="J42">SUMPRODUCT(
    --((ISNUMBER(SEARCH("C,", 'Inventory - Public Private FMS'!$H$165:$H$1792))) +
      (ISNUMBER(SEARCH("C", 'Inventory - Public Private FMS'!$H$165:$H$1792))) &gt; 0),
    --(ISNUMBER(SEARCH("Label Rouge", 'Inventory - Public Private FMS'!$P$165:$P$1792))),
    --(
        (ISNUMBER(SEARCH("Eggs", 'Inventory - Public Private FMS'!$F$165:$F$1792))) +
        (ISNUMBER(SEARCH("All food commodities", 'Inventory - Public Private FMS'!$F$165:$F$1792))
    ) &gt; 0
))</f>
        <v>0</v>
      </c>
      <c r="K42" s="218" cm="1">
        <f t="array" ref="K42">SUMPRODUCT(
    --((ISNUMBER(SEARCH("C,", 'Inventory - Public Private FMS'!$H$165:$H$1792))) +
      (ISNUMBER(SEARCH("C",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0</v>
      </c>
      <c r="L42" s="218" cm="1">
        <f t="array" ref="L42">SUMPRODUCT(
    --((ISNUMBER(SEARCH("C,", 'Inventory - Public Private FMS'!$H$165:$H$1792))) +
      (ISNUMBER(SEARCH("C", 'Inventory - Public Private FMS'!$H$165:$H$1792))) &gt; 0),
    --(ISNUMBER(SEARCH("Label Rouge", 'Inventory - Public Private FMS'!$P$165:$P$1792))),
    --(
        (ISNUMBER(SEARCH("Cereals", 'Inventory - Public Private FMS'!$F$165:$F$1792))) +
        (ISNUMBER(SEARCH("All food commodities", 'Inventory - Public Private FMS'!$F$165:$F$1792))
    ) &gt; 0
))</f>
        <v>0</v>
      </c>
    </row>
    <row r="43" spans="2:12">
      <c r="C43" t="s">
        <v>3964</v>
      </c>
      <c r="D43" s="216" t="e" cm="1">
        <f t="array" ref="D43">SUMPRODUCT(
    --((ISNUMBER(SEARCH("C,", 'Inventory - Public Private FMS'!$H$165:$H$1792)) +
        ISNUMBER(SEARCH("C",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43" s="283" t="e" cm="1">
        <f t="array" ref="E43">SUMPRODUCT(
    --((ISNUMBER(SEARCH("C,", 'Inventory - Public Private FMS'!$H$165:$H$1792)) +
        ISNUMBER(SEARCH("C",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43" s="283" t="e" cm="1">
        <f t="array" ref="F43">SUMPRODUCT(
--((ISNUMBER(SEARCH("C,",'Inventory - Public Private FMS'!$H$165:$H$1792))+
ISNUMBER(SEARCH("C",'Inventory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43" s="283" t="e" cm="1">
        <f t="array" ref="G43">SUMPRODUCT(
--((ISNUMBER(SEARCH("C,",'Inventory - Public Private FMS'!$H$165:$H$1792))+
ISNUMBER(SEARCH("C",'Inventory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3" s="283" t="e" cm="1">
        <f t="array" ref="H43">SUMPRODUCT(
--((ISNUMBER(SEARCH("C,",'Inventory - Public Private FMS'!$H$165:$H$1792))+
ISNUMBER(SEARCH("C",'Inventory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43" s="283" t="e" cm="1">
        <f t="array" ref="I43">SUMPRODUCT(
--((ISNUMBER(SEARCH("C,",'Inventory - Public Private FMS'!$H$165:$H$1792))+
ISNUMBER(SEARCH("C",'Inventory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43" s="283" t="e" cm="1">
        <f t="array" ref="J43">SUMPRODUCT(
    --((ISNUMBER(SEARCH("C,", 'Inventory - Public Private FMS'!$H$165:$H$1792)) +
        ISNUMBER(SEARCH("C",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43" s="283" t="e" cm="1">
        <f t="array" ref="K43">SUMPRODUCT(
    --((ISNUMBER(SEARCH("C,", 'Inventory - Public Private FMS'!$H$165:$H$1792)) +
        ISNUMBER(SEARCH("C",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43" s="283" t="e" cm="1">
        <f t="array" ref="L43">SUMPRODUCT(
    --((ISNUMBER(SEARCH("C,", 'Inventory - Public Private FMS'!$H$165:$H$1792)) +
        ISNUMBER(SEARCH("C",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44" spans="2:12">
      <c r="C44" t="s">
        <v>3965</v>
      </c>
      <c r="D44" s="216" cm="1">
        <f t="array" ref="D44">SUMPRODUCT(
    --((ISNUMBER(SEARCH("C,", 'Inventory - Public Private FMS'!$H$165:$H$1792)) +
        ISNUMBER(SEARCH("C", 'Inventory - Public Private FMS'!$H$165:$H$1792))) &gt; 0),
    --(ISNUMBER(SEARCH("Private", 'Inventory - Public Private FMS'!$L$165:$L$1792)))
)</f>
        <v>0</v>
      </c>
      <c r="E44" s="218" cm="1">
        <f t="array" ref="E44">SUMPRODUCT(
    --((ISNUMBER(SEARCH("C,", 'Inventory - Public Private FMS'!$H$165:$H$1792))) +
      (ISNUMBER(SEARCH("C",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44" s="218" cm="1">
        <f t="array" ref="F44">SUMPRODUCT(
    --((ISNUMBER(SEARCH("C,", 'Inventory - Public Private FMS'!$H$165:$H$1792))) +
      (ISNUMBER(SEARCH("C",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44" s="218" cm="1">
        <f t="array" ref="G44">SUMPRODUCT(
    --((ISNUMBER(SEARCH("C,", 'Inventory - Public Private FMS'!$H$165:$H$1792))) +
      (ISNUMBER(SEARCH("C",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44" s="218" cm="1">
        <f t="array" ref="H44">SUMPRODUCT(
    --((ISNUMBER(SEARCH("C,", 'Inventory - Public Private FMS'!$H$165:$H$1792))) +
      (ISNUMBER(SEARCH("C",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44" s="218" cm="1">
        <f t="array" ref="I44">SUMPRODUCT(
    --((ISNUMBER(SEARCH("C,", 'Inventory - Public Private FMS'!$H$165:$H$1792))) +
      (ISNUMBER(SEARCH("C",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44" s="218" cm="1">
        <f t="array" ref="J44">SUMPRODUCT(
    --((ISNUMBER(SEARCH("C,", 'Inventory - Public Private FMS'!$H$165:$H$1792))) +
      (ISNUMBER(SEARCH("C", 'Inventory - Public Private FMS'!$H$165:$H$1792))) &gt; 0),
    --(ISNUMBER(SEARCH("Private", 'Inventory - Public Private FMS'!$L$165:$L$1792))),
    --(
        (ISNUMBER(SEARCH("Eggs", 'Inventory - Public Private FMS'!$F$165:$F$1792))) +
        (ISNUMBER(SEARCH("All food commodities", 'Inventory - Public Private FMS'!$F$165:$F$1792))
    ) &gt; 0
))</f>
        <v>0</v>
      </c>
      <c r="K44" s="218" cm="1">
        <f t="array" ref="K44">SUMPRODUCT(
    --((ISNUMBER(SEARCH("C,", 'Inventory - Public Private FMS'!$H$165:$H$1792))) +
      (ISNUMBER(SEARCH("C",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44" s="218" cm="1">
        <f t="array" ref="L44">SUMPRODUCT(
    --((ISNUMBER(SEARCH("C,", 'Inventory - Public Private FMS'!$H$165:$H$1792))) +
      (ISNUMBER(SEARCH("C", 'Inventory - Public Private FMS'!$H$165:$H$1792))) &gt; 0),
    --(ISNUMBER(SEARCH("Private", 'Inventory - Public Private FMS'!$L$165:$L$1792))),
    --(
        (ISNUMBER(SEARCH("Cereals", 'Inventory - Public Private FMS'!$F$165:$F$1792))) +
        (ISNUMBER(SEARCH("All food commodities", 'Inventory - Public Private FMS'!$F$165:$F$1792))
    ) &gt; 0
))</f>
        <v>0</v>
      </c>
    </row>
    <row r="45" spans="2:12">
      <c r="B45" s="280" t="s">
        <v>291</v>
      </c>
      <c r="C45" s="280" t="s">
        <v>3955</v>
      </c>
      <c r="D45" s="216" cm="1">
        <f t="array" ref="D45">SUMPRODUCT(
--((ISNUMBER(SEARCH("D,",'Inventory - Public Private FMS'!$H$165:$H$1792)))+
(ISNUMBER(SEARCH("D",'Inventory - Public Private FMS'!$H$165:$H$1792)))&gt;0))</f>
        <v>665</v>
      </c>
      <c r="E45" s="218" cm="1">
        <f t="array" ref="E45">SUMPRODUCT(
    --((ISNUMBER(SEARCH("D,", 'Inventory - Public Private FMS'!$H$165:$H$1792))) +
      (ISNUMBER(SEARCH("D", 'Inventory - Public Private FMS'!$H$165:$H$1792))) &gt; 0),
    --(
        (ISNUMBER(SEARCH("Fruits", 'Inventory - Public Private FMS'!$F$165:$F$1792))) +
        (ISNUMBER(SEARCH("Vegetables", 'Inventory - Public Private FMS'!$F$165:$F$1792))) +
        (ISNUMBER(SEARCH("All food commodities", 'Inventory - Public Private FMS'!$F$165:$F$1792))
    ) &gt; 0
))</f>
        <v>302</v>
      </c>
      <c r="F45" s="218" cm="1">
        <f t="array" ref="F45">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70</v>
      </c>
      <c r="G45" s="218" cm="1">
        <f t="array" ref="G45">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66</v>
      </c>
      <c r="H45" s="218" cm="1">
        <f t="array" ref="H45">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244</v>
      </c>
      <c r="I45" s="218" cm="1">
        <f t="array" ref="I45">SUMPRODUCT(
    --((ISNUMBER(SEARCH("D,", 'Inventory - Public Private FMS'!$H$165:$H$1792))) +
      (ISNUMBER(SEARCH("D",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308</v>
      </c>
      <c r="J45" s="218" cm="1">
        <f t="array" ref="J45">SUMPRODUCT(
    --((ISNUMBER(SEARCH("D,", 'Inventory - Public Private FMS'!$H$165:$H$1792))) +
      (ISNUMBER(SEARCH("D", 'Inventory - Public Private FMS'!$H$165:$H$1792))) &gt; 0),
    --(
        (ISNUMBER(SEARCH("Eggs", 'Inventory - Public Private FMS'!$F$165:$F$1792))) +
        (ISNUMBER(SEARCH("All food commodities", 'Inventory - Public Private FMS'!$F$165:$F$1792))
    ) &gt; 0
))</f>
        <v>45</v>
      </c>
      <c r="K45" s="218" cm="1">
        <f t="array" ref="K45">SUMPRODUCT(
    --((ISNUMBER(SEARCH("D,", 'Inventory - Public Private FMS'!$H$165:$H$1792))) +
      (ISNUMBER(SEARCH("D", 'Inventory - Public Private FMS'!$H$165:$H$1792))) &gt; 0),
    --(
        (ISNUMBER(SEARCH("Fish", 'Inventory - Public Private FMS'!$F$165:$F$1792))) +
        (ISNUMBER(SEARCH("Aquaculture", 'Inventory - Public Private FMS'!$F$165:$F$1792))) +
        (ISNUMBER(SEARCH("All food commodities", 'Inventory - Public Private FMS'!$F$165:$F$1792))
    ) &gt; 0
))</f>
        <v>57</v>
      </c>
      <c r="L45" s="218" cm="1">
        <f t="array" ref="L45">SUMPRODUCT(
    --((ISNUMBER(SEARCH("D,", 'Inventory - Public Private FMS'!$H$165:$H$1792))) +
      (ISNUMBER(SEARCH("D", 'Inventory - Public Private FMS'!$H$165:$H$1792))) &gt; 0),
    --(
        (ISNUMBER(SEARCH("Cereals", 'Inventory - Public Private FMS'!$F$165:$F$1792))) +
        (ISNUMBER(SEARCH("All food commodities", 'Inventory - Public Private FMS'!$F$165:$F$1792))
    ) &gt; 0
))</f>
        <v>57</v>
      </c>
    </row>
    <row r="46" spans="2:12">
      <c r="C46" t="s">
        <v>263</v>
      </c>
      <c r="D46" s="216" t="e" cm="1">
        <f t="array" ref="D46">SUMPRODUCT(
    --((ISNUMBER(SEARCH("D,", 'Inventory - Public Private FMS'!$H$165:$H$1792)) +
        ISNUMBER(SEARCH("D", 'Inventory - Public Private FMS'!$H$165:$H$1792))) &gt; 0),
    --(ISNUMBER(SEARCH("EU", 'Inventory - Public Private FMS'!#REF!)))
)</f>
        <v>#VALUE!</v>
      </c>
      <c r="E46" s="218" t="e" cm="1">
        <f t="array" ref="E46">SUMPRODUCT(
    --((ISNUMBER(SEARCH("D,", 'Inventory - Public Private FMS'!$H$165:$H$1792))) +
      (ISNUMBER(SEARCH("D",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46" s="218" t="e" cm="1">
        <f t="array" ref="F46">SUMPRODUCT(
    --((ISNUMBER(SEARCH("D,", 'Inventory - Public Private FMS'!$H$165:$H$1792))) +
      (ISNUMBER(SEARCH("D",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46" s="218" t="e" cm="1">
        <f t="array" ref="G46">SUMPRODUCT(
    --((ISNUMBER(SEARCH("D,", 'Inventory - Public Private FMS'!$H$165:$H$1792))) +
      (ISNUMBER(SEARCH("D",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6" s="218" t="e" cm="1">
        <f t="array" ref="H46">SUMPRODUCT(
    --((ISNUMBER(SEARCH("D,", 'Inventory - Public Private FMS'!$H$165:$H$1792))) +
      (ISNUMBER(SEARCH("D",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46" s="218" t="e" cm="1">
        <f t="array" ref="I46">SUMPRODUCT(
    --((ISNUMBER(SEARCH("D,", 'Inventory - Public Private FMS'!$H$165:$H$1792))) +
      (ISNUMBER(SEARCH("D",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46" s="218" t="e" cm="1">
        <f t="array" ref="J46">SUMPRODUCT(
    --((ISNUMBER(SEARCH("D,", 'Inventory - Public Private FMS'!$H$165:$H$1792))) +
      (ISNUMBER(SEARCH("D", 'Inventory - Public Private FMS'!$H$165:$H$1792))) &gt; 0),
    --(ISNUMBER(SEARCH("EU", 'Inventory - Public Private FMS'!#REF!))),
    --(
        (ISNUMBER(SEARCH("Eggs", 'Inventory - Public Private FMS'!$F$165:$F$1792))) +
        (ISNUMBER(SEARCH("All food commodities", 'Inventory - Public Private FMS'!$F$165:$F$1792))
    ) &gt; 0))</f>
        <v>#VALUE!</v>
      </c>
      <c r="K46" s="218" t="e" cm="1">
        <f t="array" ref="K46">SUMPRODUCT(
    --((ISNUMBER(SEARCH("D,", 'Inventory - Public Private FMS'!$H$165:$H$1792))) +
      (ISNUMBER(SEARCH("D",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46" s="218" t="e" cm="1">
        <f t="array" ref="L46">SUMPRODUCT(
    --((ISNUMBER(SEARCH("D,", 'Inventory - Public Private FMS'!$H$165:$H$1792))) +
      (ISNUMBER(SEARCH("D", 'Inventory - Public Private FMS'!$H$165:$H$1792))) &gt; 0),
    --(ISNUMBER(SEARCH("EU", 'Inventory - Public Private FMS'!#REF!))),
    --(
        (ISNUMBER(SEARCH("Cereals", 'Inventory - Public Private FMS'!$F$165:$F$1792))) +
        (ISNUMBER(SEARCH("All food commodities", 'Inventory - Public Private FMS'!$F$165:$F$1792))
    ) &gt; 0
))</f>
        <v>#VALUE!</v>
      </c>
    </row>
    <row r="47" spans="2:12">
      <c r="C47" t="s">
        <v>3928</v>
      </c>
      <c r="D47" s="216" t="e" cm="1">
        <f t="array" ref="D47">SUMPRODUCT(
    --((ISNUMBER(SEARCH("D,", 'Inventory - Public Private FMS'!$H$165:$H$1792)) +
        ISNUMBER(SEARCH("D", 'Inventory - Public Private FMS'!$H$165:$H$1792))) &gt; 0),
    --(ISNUMBER(SEARCH("OECD", 'Inventory - Public Private FMS'!#REF!)))
)</f>
        <v>#VALUE!</v>
      </c>
      <c r="E47" s="218" t="e" cm="1">
        <f t="array" ref="E47">SUMPRODUCT(
    --((ISNUMBER(SEARCH("D,", 'Inventory - Public Private FMS'!$H$165:$H$1792))) +
      (ISNUMBER(SEARCH("D",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47" s="218" t="e" cm="1">
        <f t="array" ref="F47">SUMPRODUCT(
    --((ISNUMBER(SEARCH("D,", 'Inventory - Public Private FMS'!$H$165:$H$1792))) +
      (ISNUMBER(SEARCH("D",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47" s="218" t="e" cm="1">
        <f t="array" ref="G47">SUMPRODUCT(
    --((ISNUMBER(SEARCH("D,", 'Inventory - Public Private FMS'!$H$165:$H$1792))) +
      (ISNUMBER(SEARCH("D",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7" s="218" t="e" cm="1">
        <f t="array" ref="H47">SUMPRODUCT(
    --((ISNUMBER(SEARCH("D,", 'Inventory - Public Private FMS'!$H$165:$H$1792))) +
      (ISNUMBER(SEARCH("D",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47" s="218" t="e" cm="1">
        <f t="array" ref="I47">SUMPRODUCT(
    --((ISNUMBER(SEARCH("D,", 'Inventory - Public Private FMS'!$H$165:$H$1792))) +
      (ISNUMBER(SEARCH("D",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47" s="218" t="e" cm="1">
        <f t="array" ref="J47">SUMPRODUCT(
    --((ISNUMBER(SEARCH("D,", 'Inventory - Public Private FMS'!$H$165:$H$1792))) +
      (ISNUMBER(SEARCH("D", 'Inventory - Public Private FMS'!$H$165:$H$1792))) &gt; 0),
    --(ISNUMBER(SEARCH("OECD", 'Inventory - Public Private FMS'!#REF!))),
    --(
        (ISNUMBER(SEARCH("Eggs", 'Inventory - Public Private FMS'!$F$165:$F$1792))) +
        (ISNUMBER(SEARCH("All food commodities", 'Inventory - Public Private FMS'!$F$165:$F$1792))
    ) &gt; 0
))</f>
        <v>#VALUE!</v>
      </c>
      <c r="K47" s="218" t="e" cm="1">
        <f t="array" ref="K47">SUMPRODUCT(
    --((ISNUMBER(SEARCH("D,", 'Inventory - Public Private FMS'!$H$165:$H$1792))) +
      (ISNUMBER(SEARCH("D",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47" s="218" t="e" cm="1">
        <f t="array" ref="L47">SUMPRODUCT(
    --((ISNUMBER(SEARCH("D,", 'Inventory - Public Private FMS'!$H$165:$H$1792))) +
      (ISNUMBER(SEARCH("D", 'Inventory - Public Private FMS'!$H$165:$H$1792))) &gt; 0),
    --(ISNUMBER(SEARCH("OECD", 'Inventory - Public Private FMS'!#REF!))),
    --(
        (ISNUMBER(SEARCH("Cereals", 'Inventory - Public Private FMS'!$F$165:$F$1792))) +
        (ISNUMBER(SEARCH("All food commodities", 'Inventory - Public Private FMS'!$F$165:$F$1792))
    ) &gt; 0
))</f>
        <v>#VALUE!</v>
      </c>
    </row>
    <row r="48" spans="2:12">
      <c r="C48" t="s">
        <v>3926</v>
      </c>
      <c r="D48" s="216" t="e" cm="1">
        <f t="array" ref="D48">SUMPRODUCT(
    --((ISNUMBER(SEARCH("D,", 'Inventory - Public Private FMS'!$H$165:$H$1792)) +
        ISNUMBER(SEARCH("D", 'Inventory - Public Private FMS'!$H$165:$H$1792))) &gt; 0),
    --(ISNUMBER(SEARCH("UNECE", 'Inventory - Public Private FMS'!#REF!)))
)</f>
        <v>#VALUE!</v>
      </c>
      <c r="E48" s="218" t="e" cm="1">
        <f t="array" ref="E48">SUMPRODUCT(
    --((ISNUMBER(SEARCH("D,", 'Inventory - Public Private FMS'!$H$165:$H$1792))) +
      (ISNUMBER(SEARCH("D",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48" s="218" t="e" cm="1">
        <f t="array" ref="F48">SUMPRODUCT(
    --((ISNUMBER(SEARCH("D,", 'Inventory - Public Private FMS'!$H$165:$H$1792))) +
      (ISNUMBER(SEARCH("D",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48" s="218" t="e" cm="1">
        <f t="array" ref="G48">SUMPRODUCT(
    --((ISNUMBER(SEARCH("D,", 'Inventory - Public Private FMS'!$H$165:$H$1792))) +
      (ISNUMBER(SEARCH("D",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8" s="218" t="e" cm="1">
        <f t="array" ref="H48">SUMPRODUCT(
    --((ISNUMBER(SEARCH("D,", 'Inventory - Public Private FMS'!$H$165:$H$1792))) +
      (ISNUMBER(SEARCH("D",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48" s="218" t="e" cm="1">
        <f t="array" ref="I48">SUMPRODUCT(
    --((ISNUMBER(SEARCH("D,", 'Inventory - Public Private FMS'!$H$165:$H$1792))) +
      (ISNUMBER(SEARCH("D",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48" s="218" t="e" cm="1">
        <f t="array" ref="J48">SUMPRODUCT(
    --((ISNUMBER(SEARCH("D,", 'Inventory - Public Private FMS'!$H$165:$H$1792))) +
      (ISNUMBER(SEARCH("D", 'Inventory - Public Private FMS'!$H$165:$H$1792))) &gt; 0),
    --(ISNUMBER(SEARCH("UNECE", 'Inventory - Public Private FMS'!#REF!))),
     --(
        (ISNUMBER(SEARCH("Eggs", 'Inventory - Public Private FMS'!$F$165:$F$1792))) +
        (ISNUMBER(SEARCH("All food commodities", 'Inventory - Public Private FMS'!$F$165:$F$1792))
    ) &gt; 0
))</f>
        <v>#VALUE!</v>
      </c>
      <c r="K48" s="218" t="e" cm="1">
        <f t="array" ref="K48">SUMPRODUCT(
    --((ISNUMBER(SEARCH("D,", 'Inventory - Public Private FMS'!$H$165:$H$1792))) +
      (ISNUMBER(SEARCH("D",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48" s="218" t="e" cm="1">
        <f t="array" ref="L48">SUMPRODUCT(
    --((ISNUMBER(SEARCH("D,", 'Inventory - Public Private FMS'!$H$165:$H$1792))) +
      (ISNUMBER(SEARCH("D", 'Inventory - Public Private FMS'!$H$165:$H$1792))) &gt; 0),
    --(ISNUMBER(SEARCH("UNECE", 'Inventory - Public Private FMS'!#REF!))),
    --(
        (ISNUMBER(SEARCH("Cereals", 'Inventory - Public Private FMS'!$F$165:$F$1792))) +
        (ISNUMBER(SEARCH("All food commodities", 'Inventory - Public Private FMS'!$F$165:$F$1792))
    ) &gt; 0
))</f>
        <v>#VALUE!</v>
      </c>
    </row>
    <row r="49" spans="2:12">
      <c r="C49" t="s">
        <v>3930</v>
      </c>
      <c r="D49" s="216" t="e" cm="1">
        <f t="array" ref="D49">SUMPRODUCT(
    --((ISNUMBER(SEARCH("D,", 'Inventory - Public Private FMS'!$H$165:$H$1792)) +
        ISNUMBER(SEARCH("D", 'Inventory - Public Private FMS'!$H$165:$H$1792))) &gt; 0),
    --(ISNUMBER(SEARCH("Codex Alimentarius", 'Inventory - Public Private FMS'!#REF!)))
)</f>
        <v>#VALUE!</v>
      </c>
      <c r="E49" s="218" t="e" cm="1">
        <f t="array" ref="E49">SUMPRODUCT(
    --((ISNUMBER(SEARCH("D,", 'Inventory - Public Private FMS'!$H$165:$H$1792))) +
      (ISNUMBER(SEARCH("D",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49" s="218" t="e" cm="1">
        <f t="array" ref="F49">SUMPRODUCT(
    --((ISNUMBER(SEARCH("D,", 'Inventory - Public Private FMS'!$H$165:$H$1792))) +
      (ISNUMBER(SEARCH("D",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49" s="218" t="e" cm="1">
        <f t="array" ref="G49">SUMPRODUCT(
    --((ISNUMBER(SEARCH("D,", 'Inventory - Public Private FMS'!$H$165:$H$1792))) +
      (ISNUMBER(SEARCH("D",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49" s="218" t="e" cm="1">
        <f t="array" ref="H49">SUMPRODUCT(
    --((ISNUMBER(SEARCH("D,", 'Inventory - Public Private FMS'!$H$165:$H$1792))) +
      (ISNUMBER(SEARCH("D",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49" s="218" t="e" cm="1">
        <f t="array" ref="I49">SUMPRODUCT(
    --((ISNUMBER(SEARCH("D,", 'Inventory - Public Private FMS'!$H$165:$H$1792))) +
      (ISNUMBER(SEARCH("D",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49" s="218" t="e" cm="1">
        <f t="array" ref="J49">SUMPRODUCT(
    --((ISNUMBER(SEARCH("D,", 'Inventory - Public Private FMS'!$H$165:$H$1792))) +
      (ISNUMBER(SEARCH("D", 'Inventory - Public Private FMS'!$H$165:$H$1792))) &gt; 0),
    --(ISNUMBER(SEARCH("Codex Alimentarius", 'Inventory - Public Private FMS'!#REF!))),
    --(
        (ISNUMBER(SEARCH("Eggs", 'Inventory - Public Private FMS'!$F$165:$F$1792))) +
        (ISNUMBER(SEARCH("All food commodities", 'Inventory - Public Private FMS'!$F$165:$F$1792))
    ) &gt; 0
))</f>
        <v>#VALUE!</v>
      </c>
      <c r="K49" s="218" t="e" cm="1">
        <f t="array" ref="K49">SUMPRODUCT(
    --((ISNUMBER(SEARCH("D,", 'Inventory - Public Private FMS'!$H$165:$H$1792))) +
      (ISNUMBER(SEARCH("D",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49" s="218" t="e" cm="1">
        <f t="array" ref="L49">SUMPRODUCT(
    --((ISNUMBER(SEARCH("D,", 'Inventory - Public Private FMS'!$H$165:$H$1792))) +
      (ISNUMBER(SEARCH("D", 'Inventory - Public Private FMS'!$H$165:$H$1792))) &gt; 0),
    --(ISNUMBER(SEARCH("Codex Alimentarius", 'Inventory - Public Private FMS'!#REF!))),
    --(
        (ISNUMBER(SEARCH("Cereals", 'Inventory - Public Private FMS'!$F$165:$F$1792))) +
        (ISNUMBER(SEARCH("All food commodities", 'Inventory - Public Private FMS'!$F$165:$F$1792))
    ) &gt; 0
))</f>
        <v>#VALUE!</v>
      </c>
    </row>
    <row r="50" spans="2:12">
      <c r="C50" t="s">
        <v>2405</v>
      </c>
      <c r="D50" s="216" cm="1">
        <f t="array" ref="D50">SUMPRODUCT(
    --((ISNUMBER(SEARCH("D,", 'Inventory - Public Private FMS'!$H$165:$H$1792)) +
        ISNUMBER(SEARCH("D", 'Inventory - Public Private FMS'!$H$165:$H$1792))) &gt; 0),
    --(ISNUMBER(SEARCH("Label Rouge", 'Inventory - Public Private FMS'!$P$165:$P$1792)))
)</f>
        <v>329</v>
      </c>
      <c r="E50" s="218" cm="1">
        <f t="array" ref="E50">SUMPRODUCT(
    --((ISNUMBER(SEARCH("D,", 'Inventory - Public Private FMS'!$H$165:$H$1792))) +
      (ISNUMBER(SEARCH("D",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50" s="218" cm="1">
        <f t="array" ref="F50">SUMPRODUCT(
    --((ISNUMBER(SEARCH("D,", 'Inventory - Public Private FMS'!$H$165:$H$1792))) +
      (ISNUMBER(SEARCH("D",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50" s="218" cm="1">
        <f t="array" ref="G50">SUMPRODUCT(
    --((ISNUMBER(SEARCH("D,", 'Inventory - Public Private FMS'!$H$165:$H$1792))) +
      (ISNUMBER(SEARCH("D",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50" s="218" cm="1">
        <f t="array" ref="H50">SUMPRODUCT(
    --((ISNUMBER(SEARCH("D,", 'Inventory - Public Private FMS'!$H$165:$H$1792))) +
      (ISNUMBER(SEARCH("D",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50" s="218" cm="1">
        <f t="array" ref="I50">SUMPRODUCT(
    --((ISNUMBER(SEARCH("D,", 'Inventory - Public Private FMS'!$H$165:$H$1792))) +
      (ISNUMBER(SEARCH("D",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50" s="218" cm="1">
        <f t="array" ref="J50">SUMPRODUCT(
    --((ISNUMBER(SEARCH("D,", 'Inventory - Public Private FMS'!$H$165:$H$1792))) +
      (ISNUMBER(SEARCH("D", 'Inventory - Public Private FMS'!$H$165:$H$1792))) &gt; 0),
    --(ISNUMBER(SEARCH("Label Rouge", 'Inventory - Public Private FMS'!$P$165:$P$1792))),
    --(
        (ISNUMBER(SEARCH("Eggs", 'Inventory - Public Private FMS'!$F$165:$F$1792))) +
        (ISNUMBER(SEARCH("All food commodities", 'Inventory - Public Private FMS'!$F$165:$F$1792))
    ) &gt; 0
))</f>
        <v>14</v>
      </c>
      <c r="K50" s="218" cm="1">
        <f t="array" ref="K50">SUMPRODUCT(
    --((ISNUMBER(SEARCH("D,", 'Inventory - Public Private FMS'!$H$165:$H$1792))) +
      (ISNUMBER(SEARCH("D",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20</v>
      </c>
      <c r="L50" s="218" cm="1">
        <f t="array" ref="L50">SUMPRODUCT(
    --((ISNUMBER(SEARCH("D,", 'Inventory - Public Private FMS'!$H$165:$H$1792))) +
      (ISNUMBER(SEARCH("D", 'Inventory - Public Private FMS'!$H$165:$H$1792))) &gt; 0),
    --(ISNUMBER(SEARCH("Label Rouge", 'Inventory - Public Private FMS'!$P$165:$P$1792))),
    --(
        (ISNUMBER(SEARCH("Cereals", 'Inventory - Public Private FMS'!$F$165:$F$1792))) +
        (ISNUMBER(SEARCH("All food commodities", 'Inventory - Public Private FMS'!$F$165:$F$1792))
    ) &gt; 0
))</f>
        <v>7</v>
      </c>
    </row>
    <row r="51" spans="2:12">
      <c r="C51" t="s">
        <v>3964</v>
      </c>
      <c r="D51" s="216" t="e" cm="1">
        <f t="array" ref="D51">SUMPRODUCT(
    --((ISNUMBER(SEARCH("D,", 'Inventory - Public Private FMS'!$H$165:$H$1792)) +
        ISNUMBER(SEARCH("D",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51" s="283" t="e" cm="1">
        <f t="array" ref="E51">SUMPRODUCT(
    --((ISNUMBER(SEARCH("D,", 'Inventory - Public Private FMS'!$H$165:$H$1792)) +
        ISNUMBER(SEARCH("D",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51" s="283" t="e" cm="1">
        <f t="array" ref="F51">SUMPRODUCT(
--((ISNUMBER(SEARCH("D,",'Inventory - Public Private FMS'!$H$165:$H$1792))+
ISNUMBER(SEARCH("D",'Inventory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51" s="283" t="e" cm="1">
        <f t="array" ref="G51">SUMPRODUCT(
--((ISNUMBER(SEARCH("D,",'Inventory - Public Private FMS'!$H$165:$H$1792))+
ISNUMBER(SEARCH("D",'Inventory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51" s="283" t="e" cm="1">
        <f t="array" ref="H51">SUMPRODUCT(
--((ISNUMBER(SEARCH("D,",'Inventory - Public Private FMS'!$H$165:$H$1792))+
ISNUMBER(SEARCH("D",'Inventory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51" s="283" t="e" cm="1">
        <f t="array" ref="I51">SUMPRODUCT(
--((ISNUMBER(SEARCH("D,",'Inventory - Public Private FMS'!$H$165:$H$1792))+
ISNUMBER(SEARCH("D",'Inventory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51" s="283" t="e" cm="1">
        <f t="array" ref="J51">SUMPRODUCT(
    --((ISNUMBER(SEARCH("D,", 'Inventory - Public Private FMS'!$H$165:$H$1792)) +
        ISNUMBER(SEARCH("D",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51" s="283" t="e" cm="1">
        <f t="array" ref="K51">SUMPRODUCT(
    --((ISNUMBER(SEARCH("D,", 'Inventory - Public Private FMS'!$H$165:$H$1792)) +
        ISNUMBER(SEARCH("D",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51" s="283" t="e" cm="1">
        <f t="array" ref="L51">SUMPRODUCT(
    --((ISNUMBER(SEARCH("D,", 'Inventory - Public Private FMS'!$H$165:$H$1792)) +
        ISNUMBER(SEARCH("D",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52" spans="2:12">
      <c r="C52" t="s">
        <v>3965</v>
      </c>
      <c r="D52" s="216" cm="1">
        <f t="array" ref="D52">SUMPRODUCT(
    --((ISNUMBER(SEARCH("D,", 'Inventory - Public Private FMS'!$H$165:$H$1792)) +
        ISNUMBER(SEARCH("D", 'Inventory - Public Private FMS'!$H$165:$H$1792))) &gt; 0),
    --(ISNUMBER(SEARCH("Private", 'Inventory - Public Private FMS'!$L$165:$L$1792)))
)</f>
        <v>0</v>
      </c>
      <c r="E52" s="218" cm="1">
        <f t="array" ref="E52">SUMPRODUCT(
    --((ISNUMBER(SEARCH("D,", 'Inventory - Public Private FMS'!$H$165:$H$1792))) +
      (ISNUMBER(SEARCH("D",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52" s="218" cm="1">
        <f t="array" ref="F52">SUMPRODUCT(
    --((ISNUMBER(SEARCH("D,", 'Inventory - Public Private FMS'!$H$165:$H$1792))) +
      (ISNUMBER(SEARCH("D",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52" s="218" cm="1">
        <f t="array" ref="G52">SUMPRODUCT(
    --((ISNUMBER(SEARCH("D,", 'Inventory - Public Private FMS'!$H$165:$H$1792))) +
      (ISNUMBER(SEARCH("D",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52" s="218" cm="1">
        <f t="array" ref="H52">SUMPRODUCT(
    --((ISNUMBER(SEARCH("D,", 'Inventory - Public Private FMS'!$H$165:$H$1792))) +
      (ISNUMBER(SEARCH("D",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52" s="218" cm="1">
        <f t="array" ref="I52">SUMPRODUCT(
    --((ISNUMBER(SEARCH("D,", 'Inventory - Public Private FMS'!$H$165:$H$1792))) +
      (ISNUMBER(SEARCH("D",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52" s="218" cm="1">
        <f t="array" ref="J52">SUMPRODUCT(
    --((ISNUMBER(SEARCH("D,", 'Inventory - Public Private FMS'!$H$165:$H$1792))) +
      (ISNUMBER(SEARCH("D", 'Inventory - Public Private FMS'!$H$165:$H$1792))) &gt; 0),
    --(ISNUMBER(SEARCH("Private", 'Inventory - Public Private FMS'!$L$165:$L$1792))),
    --(
        (ISNUMBER(SEARCH("Eggs", 'Inventory - Public Private FMS'!$F$165:$F$1792))) +
        (ISNUMBER(SEARCH("All food commodities", 'Inventory - Public Private FMS'!$F$165:$F$1792))
    ) &gt; 0
))</f>
        <v>0</v>
      </c>
      <c r="K52" s="218" cm="1">
        <f t="array" ref="K52">SUMPRODUCT(
    --((ISNUMBER(SEARCH("D,", 'Inventory - Public Private FMS'!$H$165:$H$1792))) +
      (ISNUMBER(SEARCH("D",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52" s="218" cm="1">
        <f t="array" ref="L52">SUMPRODUCT(
    --((ISNUMBER(SEARCH("D,", 'Inventory - Public Private FMS'!$H$165:$H$1792))) +
      (ISNUMBER(SEARCH("D", 'Inventory - Public Private FMS'!$H$165:$H$1792))) &gt; 0),
    --(ISNUMBER(SEARCH("Private", 'Inventory - Public Private FMS'!$L$165:$L$1792))),
    --(
        (ISNUMBER(SEARCH("Cereals", 'Inventory - Public Private FMS'!$F$165:$F$1792))) +
        (ISNUMBER(SEARCH("All food commodities", 'Inventory - Public Private FMS'!$F$165:$F$1792))
    ) &gt; 0
))</f>
        <v>0</v>
      </c>
    </row>
    <row r="53" spans="2:12">
      <c r="B53" s="280" t="s">
        <v>298</v>
      </c>
      <c r="C53" s="280" t="s">
        <v>3956</v>
      </c>
      <c r="D53" s="216" cm="1">
        <f t="array" ref="D53">SUMPRODUCT(
--((ISNUMBER(SEARCH("E,",'Inventory - Public Private FMS'!$H$165:$H$1792)))+
(ISNUMBER(SEARCH("E",'Inventory - Public Private FMS'!$H$165:$H$1792)))&gt;0))</f>
        <v>480</v>
      </c>
      <c r="E53" s="218" cm="1">
        <f t="array" ref="E53">SUMPRODUCT(
    --((ISNUMBER(SEARCH("E,", 'Inventory - Public Private FMS'!$H$165:$H$1792))) +
      (ISNUMBER(SEARCH("E", 'Inventory - Public Private FMS'!$H$165:$H$1792))) &gt; 0),
    --(
        (ISNUMBER(SEARCH("Fruits", 'Inventory - Public Private FMS'!$F$165:$F$1792))) +
        (ISNUMBER(SEARCH("Vegetables", 'Inventory - Public Private FMS'!$F$165:$F$1792))) +
        (ISNUMBER(SEARCH("All food commodities", 'Inventory - Public Private FMS'!$F$165:$F$1792))
    ) &gt; 0
))</f>
        <v>121</v>
      </c>
      <c r="F53" s="218" cm="1">
        <f t="array" ref="F53">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38</v>
      </c>
      <c r="G53" s="218" cm="1">
        <f t="array" ref="G53">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38</v>
      </c>
      <c r="H53" s="218" cm="1">
        <f t="array" ref="H53">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216</v>
      </c>
      <c r="I53" s="218" cm="1">
        <f t="array" ref="I53">SUMPRODUCT(
    --((ISNUMBER(SEARCH("E,", 'Inventory - Public Private FMS'!$H$165:$H$1792))) +
      (ISNUMBER(SEARCH("E",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272</v>
      </c>
      <c r="J53" s="218" cm="1">
        <f t="array" ref="J53">SUMPRODUCT(
    --((ISNUMBER(SEARCH("E,", 'Inventory - Public Private FMS'!$H$165:$H$1792))) +
      (ISNUMBER(SEARCH("E", 'Inventory - Public Private FMS'!$H$165:$H$1792))) &gt; 0),
    --(
        (ISNUMBER(SEARCH("Eggs", 'Inventory - Public Private FMS'!$F$165:$F$1792))) +
        (ISNUMBER(SEARCH("All food commodities", 'Inventory - Public Private FMS'!$F$165:$F$1792))
    ) &gt; 0
))</f>
        <v>19</v>
      </c>
      <c r="K53" s="218" cm="1">
        <f t="array" ref="K53">SUMPRODUCT(
    --((ISNUMBER(SEARCH("E,", 'Inventory - Public Private FMS'!$H$165:$H$1792))) +
      (ISNUMBER(SEARCH("E", 'Inventory - Public Private FMS'!$H$165:$H$1792))) &gt; 0),
    --(
        (ISNUMBER(SEARCH("Fish", 'Inventory - Public Private FMS'!$F$165:$F$1792))) +
        (ISNUMBER(SEARCH("Aquaculture", 'Inventory - Public Private FMS'!$F$165:$F$1792))) +
        (ISNUMBER(SEARCH("All food commodities", 'Inventory - Public Private FMS'!$F$165:$F$1792))
    ) &gt; 0
))</f>
        <v>35</v>
      </c>
      <c r="L53" s="218" cm="1">
        <f t="array" ref="L53">SUMPRODUCT(
    --((ISNUMBER(SEARCH("E,", 'Inventory - Public Private FMS'!$H$165:$H$1792))) +
      (ISNUMBER(SEARCH("E", 'Inventory - Public Private FMS'!$H$165:$H$1792))) &gt; 0),
    --(
        (ISNUMBER(SEARCH("Cereals", 'Inventory - Public Private FMS'!$F$165:$F$1792))) +
        (ISNUMBER(SEARCH("All food commodities", 'Inventory - Public Private FMS'!$F$165:$F$1792))
    ) &gt; 0
))</f>
        <v>48</v>
      </c>
    </row>
    <row r="54" spans="2:12">
      <c r="C54" t="s">
        <v>263</v>
      </c>
      <c r="D54" s="216" t="e" cm="1">
        <f t="array" ref="D54">SUMPRODUCT(
    --((ISNUMBER(SEARCH("E,", 'Inventory - Public Private FMS'!$H$165:$H$1792)) +
        ISNUMBER(SEARCH("E", 'Inventory - Public Private FMS'!$H$165:$H$1792))) &gt; 0),
    --(ISNUMBER(SEARCH("EU", 'Inventory - Public Private FMS'!#REF!)))
)</f>
        <v>#VALUE!</v>
      </c>
      <c r="E54" s="218" t="e" cm="1">
        <f t="array" ref="E54">SUMPRODUCT(
    --((ISNUMBER(SEARCH("E,", 'Inventory - Public Private FMS'!$H$165:$H$1792))) +
      (ISNUMBER(SEARCH("E",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54" s="218" t="e" cm="1">
        <f t="array" ref="F54">SUMPRODUCT(
    --((ISNUMBER(SEARCH("E,", 'Inventory - Public Private FMS'!$H$165:$H$1792))) +
      (ISNUMBER(SEARCH("E",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54" s="218" t="e" cm="1">
        <f t="array" ref="G54">SUMPRODUCT(
    --((ISNUMBER(SEARCH("E,", 'Inventory - Public Private FMS'!$H$165:$H$1792))) +
      (ISNUMBER(SEARCH("E",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54" s="218" t="e" cm="1">
        <f t="array" ref="H54">SUMPRODUCT(
    --((ISNUMBER(SEARCH("E,", 'Inventory - Public Private FMS'!$H$165:$H$1792))) +
      (ISNUMBER(SEARCH("E",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54" s="218" t="e" cm="1">
        <f t="array" ref="I54">SUMPRODUCT(
    --((ISNUMBER(SEARCH("E,", 'Inventory - Public Private FMS'!$H$165:$H$1792))) +
      (ISNUMBER(SEARCH("E",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54" s="218" t="e" cm="1">
        <f t="array" ref="J54">SUMPRODUCT(
    --((ISNUMBER(SEARCH("E,", 'Inventory - Public Private FMS'!$H$165:$H$1792))) +
      (ISNUMBER(SEARCH("E", 'Inventory - Public Private FMS'!$H$165:$H$1792))) &gt; 0),
    --(ISNUMBER(SEARCH("EU", 'Inventory - Public Private FMS'!#REF!))),
    --(
        (ISNUMBER(SEARCH("Eggs", 'Inventory - Public Private FMS'!$F$165:$F$1792))) +
        (ISNUMBER(SEARCH("All food commodities", 'Inventory - Public Private FMS'!$F$165:$F$1792))
    ) &gt; 0))</f>
        <v>#VALUE!</v>
      </c>
      <c r="K54" s="218" t="e" cm="1">
        <f t="array" ref="K54">SUMPRODUCT(
    --((ISNUMBER(SEARCH("E,", 'Inventory - Public Private FMS'!$H$165:$H$1792))) +
      (ISNUMBER(SEARCH("E",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54" s="218" t="e" cm="1">
        <f t="array" ref="L54">SUMPRODUCT(
    --((ISNUMBER(SEARCH("E,", 'Inventory - Public Private FMS'!$H$165:$H$1792))) +
      (ISNUMBER(SEARCH("E", 'Inventory - Public Private FMS'!$H$165:$H$1792))) &gt; 0),
    --(ISNUMBER(SEARCH("EU", 'Inventory - Public Private FMS'!#REF!))),
    --(
        (ISNUMBER(SEARCH("Cereals", 'Inventory - Public Private FMS'!$F$165:$F$1792))) +
        (ISNUMBER(SEARCH("All food commodities", 'Inventory - Public Private FMS'!$F$165:$F$1792))
    ) &gt; 0
))</f>
        <v>#VALUE!</v>
      </c>
    </row>
    <row r="55" spans="2:12">
      <c r="C55" t="s">
        <v>3928</v>
      </c>
      <c r="D55" s="216" t="e" cm="1">
        <f t="array" ref="D55">SUMPRODUCT(
    --((ISNUMBER(SEARCH("E,", 'Inventory - Public Private FMS'!$H$165:$H$1792)) +
        ISNUMBER(SEARCH("E", 'Inventory - Public Private FMS'!$H$165:$H$1792))) &gt; 0),
    --(ISNUMBER(SEARCH("OECD", 'Inventory - Public Private FMS'!#REF!)))
)</f>
        <v>#VALUE!</v>
      </c>
      <c r="E55" s="218" t="e" cm="1">
        <f t="array" ref="E55">SUMPRODUCT(
    --((ISNUMBER(SEARCH("E,", 'Inventory - Public Private FMS'!$H$165:$H$1792))) +
      (ISNUMBER(SEARCH("E",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55" s="218" t="e" cm="1">
        <f t="array" ref="F55">SUMPRODUCT(
    --((ISNUMBER(SEARCH("E,", 'Inventory - Public Private FMS'!$H$165:$H$1792))) +
      (ISNUMBER(SEARCH("E",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55" s="218" t="e" cm="1">
        <f t="array" ref="G55">SUMPRODUCT(
    --((ISNUMBER(SEARCH("E,", 'Inventory - Public Private FMS'!$H$165:$H$1792))) +
      (ISNUMBER(SEARCH("E",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55" s="218" t="e" cm="1">
        <f t="array" ref="H55">SUMPRODUCT(
    --((ISNUMBER(SEARCH("E,", 'Inventory - Public Private FMS'!$H$165:$H$1792))) +
      (ISNUMBER(SEARCH("E",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55" s="218" t="e" cm="1">
        <f t="array" ref="I55">SUMPRODUCT(
    --((ISNUMBER(SEARCH("E,", 'Inventory - Public Private FMS'!$H$165:$H$1792))) +
      (ISNUMBER(SEARCH("E",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55" s="218" t="e" cm="1">
        <f t="array" ref="J55">SUMPRODUCT(
    --((ISNUMBER(SEARCH("E,", 'Inventory - Public Private FMS'!$H$165:$H$1792))) +
      (ISNUMBER(SEARCH("E", 'Inventory - Public Private FMS'!$H$165:$H$1792))) &gt; 0),
    --(ISNUMBER(SEARCH("OECD", 'Inventory - Public Private FMS'!#REF!))),
    --(
        (ISNUMBER(SEARCH("Eggs", 'Inventory - Public Private FMS'!$F$165:$F$1792))) +
        (ISNUMBER(SEARCH("All food commodities", 'Inventory - Public Private FMS'!$F$165:$F$1792))
    ) &gt; 0
))</f>
        <v>#VALUE!</v>
      </c>
      <c r="K55" s="218" t="e" cm="1">
        <f t="array" ref="K55">SUMPRODUCT(
    --((ISNUMBER(SEARCH("E,", 'Inventory - Public Private FMS'!$H$165:$H$1792))) +
      (ISNUMBER(SEARCH("E",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55" s="218" t="e" cm="1">
        <f t="array" ref="L55">SUMPRODUCT(
    --((ISNUMBER(SEARCH("E,", 'Inventory - Public Private FMS'!$H$165:$H$1792))) +
      (ISNUMBER(SEARCH("E", 'Inventory - Public Private FMS'!$H$165:$H$1792))) &gt; 0),
    --(ISNUMBER(SEARCH("OECD", 'Inventory - Public Private FMS'!#REF!))),
    --(
        (ISNUMBER(SEARCH("Cereals", 'Inventory - Public Private FMS'!$F$165:$F$1792))) +
        (ISNUMBER(SEARCH("All food commodities", 'Inventory - Public Private FMS'!$F$165:$F$1792))
    ) &gt; 0
))</f>
        <v>#VALUE!</v>
      </c>
    </row>
    <row r="56" spans="2:12">
      <c r="C56" t="s">
        <v>3926</v>
      </c>
      <c r="D56" s="216" t="e" cm="1">
        <f t="array" ref="D56">SUMPRODUCT(
    --((ISNUMBER(SEARCH("E,", 'Inventory - Public Private FMS'!$H$165:$H$1792)) +
        ISNUMBER(SEARCH("E", 'Inventory - Public Private FMS'!$H$165:$H$1792))) &gt; 0),
    --(ISNUMBER(SEARCH("UNECE", 'Inventory - Public Private FMS'!#REF!)))
)</f>
        <v>#VALUE!</v>
      </c>
      <c r="E56" s="218" t="e" cm="1">
        <f t="array" ref="E56">SUMPRODUCT(
    --((ISNUMBER(SEARCH("E,", 'Inventory - Public Private FMS'!$H$165:$H$1792))) +
      (ISNUMBER(SEARCH("E",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56" s="218" t="e" cm="1">
        <f t="array" ref="F56">SUMPRODUCT(
    --((ISNUMBER(SEARCH("E,", 'Inventory - Public Private FMS'!$H$165:$H$1792))) +
      (ISNUMBER(SEARCH("E",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56" s="218" t="e" cm="1">
        <f t="array" ref="G56">SUMPRODUCT(
    --((ISNUMBER(SEARCH("E,", 'Inventory - Public Private FMS'!$H$165:$H$1792))) +
      (ISNUMBER(SEARCH("E",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56" s="218" t="e" cm="1">
        <f t="array" ref="H56">SUMPRODUCT(
    --((ISNUMBER(SEARCH("E,", 'Inventory - Public Private FMS'!$H$165:$H$1792))) +
      (ISNUMBER(SEARCH("E",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56" s="218" t="e" cm="1">
        <f t="array" ref="I56">SUMPRODUCT(
    --((ISNUMBER(SEARCH("E,", 'Inventory - Public Private FMS'!$H$165:$H$1792))) +
      (ISNUMBER(SEARCH("E",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56" s="218" t="e" cm="1">
        <f t="array" ref="J56">SUMPRODUCT(
    --((ISNUMBER(SEARCH("E,", 'Inventory - Public Private FMS'!$H$165:$H$1792))) +
      (ISNUMBER(SEARCH("E", 'Inventory - Public Private FMS'!$H$165:$H$1792))) &gt; 0),
    --(ISNUMBER(SEARCH("UNECE", 'Inventory - Public Private FMS'!#REF!))),
     --(
        (ISNUMBER(SEARCH("Eggs", 'Inventory - Public Private FMS'!$F$165:$F$1792))) +
        (ISNUMBER(SEARCH("All food commodities", 'Inventory - Public Private FMS'!$F$165:$F$1792))
    ) &gt; 0
))</f>
        <v>#VALUE!</v>
      </c>
      <c r="K56" s="218" t="e" cm="1">
        <f t="array" ref="K56">SUMPRODUCT(
    --((ISNUMBER(SEARCH("E,", 'Inventory - Public Private FMS'!$H$165:$H$1792))) +
      (ISNUMBER(SEARCH("E",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56" s="218" t="e" cm="1">
        <f t="array" ref="L56">SUMPRODUCT(
    --((ISNUMBER(SEARCH("E,", 'Inventory - Public Private FMS'!$H$165:$H$1792))) +
      (ISNUMBER(SEARCH("E", 'Inventory - Public Private FMS'!$H$165:$H$1792))) &gt; 0),
    --(ISNUMBER(SEARCH("UNECE", 'Inventory - Public Private FMS'!#REF!))),
    --(
        (ISNUMBER(SEARCH("Cereals", 'Inventory - Public Private FMS'!$F$165:$F$1792))) +
        (ISNUMBER(SEARCH("All food commodities", 'Inventory - Public Private FMS'!$F$165:$F$1792))
    ) &gt; 0
))</f>
        <v>#VALUE!</v>
      </c>
    </row>
    <row r="57" spans="2:12">
      <c r="C57" t="s">
        <v>3930</v>
      </c>
      <c r="D57" s="216" t="e" cm="1">
        <f t="array" ref="D57">SUMPRODUCT(
    --((ISNUMBER(SEARCH("E,", 'Inventory - Public Private FMS'!$H$165:$H$1792)) +
        ISNUMBER(SEARCH("E", 'Inventory - Public Private FMS'!$H$165:$H$1792))) &gt; 0),
    --(ISNUMBER(SEARCH("Codex Alimentarius", 'Inventory - Public Private FMS'!#REF!)))
)</f>
        <v>#VALUE!</v>
      </c>
      <c r="E57" s="218" t="e" cm="1">
        <f t="array" ref="E57">SUMPRODUCT(
    --((ISNUMBER(SEARCH("E,", 'Inventory - Public Private FMS'!$H$165:$H$1792))) +
      (ISNUMBER(SEARCH("E",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57" s="218" t="e" cm="1">
        <f t="array" ref="F57">SUMPRODUCT(
    --((ISNUMBER(SEARCH("E,", 'Inventory - Public Private FMS'!$H$165:$H$1792))) +
      (ISNUMBER(SEARCH("E",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57" s="218" t="e" cm="1">
        <f t="array" ref="G57">SUMPRODUCT(
    --((ISNUMBER(SEARCH("E,", 'Inventory - Public Private FMS'!$H$165:$H$1792))) +
      (ISNUMBER(SEARCH("E",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57" s="218" t="e" cm="1">
        <f t="array" ref="H57">SUMPRODUCT(
    --((ISNUMBER(SEARCH("E,", 'Inventory - Public Private FMS'!$H$165:$H$1792))) +
      (ISNUMBER(SEARCH("E",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57" s="218" t="e" cm="1">
        <f t="array" ref="I57">SUMPRODUCT(
    --((ISNUMBER(SEARCH("E,", 'Inventory - Public Private FMS'!$H$165:$H$1792))) +
      (ISNUMBER(SEARCH("E",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57" s="218" t="e" cm="1">
        <f t="array" ref="J57">SUMPRODUCT(
    --((ISNUMBER(SEARCH("E,", 'Inventory - Public Private FMS'!$H$165:$H$1792))) +
      (ISNUMBER(SEARCH("E", 'Inventory - Public Private FMS'!$H$165:$H$1792))) &gt; 0),
    --(ISNUMBER(SEARCH("Codex Alimentarius", 'Inventory - Public Private FMS'!#REF!))),
    --(
        (ISNUMBER(SEARCH("Eggs", 'Inventory - Public Private FMS'!$F$165:$F$1792))) +
        (ISNUMBER(SEARCH("All food commodities", 'Inventory - Public Private FMS'!$F$165:$F$1792))
    ) &gt; 0
))</f>
        <v>#VALUE!</v>
      </c>
      <c r="K57" s="218" t="e" cm="1">
        <f t="array" ref="K57">SUMPRODUCT(
    --((ISNUMBER(SEARCH("E,", 'Inventory - Public Private FMS'!$H$165:$H$1792))) +
      (ISNUMBER(SEARCH("E",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57" s="218" t="e" cm="1">
        <f t="array" ref="L57">SUMPRODUCT(
    --((ISNUMBER(SEARCH("E,", 'Inventory - Public Private FMS'!$H$165:$H$1792))) +
      (ISNUMBER(SEARCH("E", 'Inventory - Public Private FMS'!$H$165:$H$1792))) &gt; 0),
    --(ISNUMBER(SEARCH("Codex Alimentarius", 'Inventory - Public Private FMS'!#REF!))),
    --(
        (ISNUMBER(SEARCH("Cereals", 'Inventory - Public Private FMS'!$F$165:$F$1792))) +
        (ISNUMBER(SEARCH("All food commodities", 'Inventory - Public Private FMS'!$F$165:$F$1792))
    ) &gt; 0
))</f>
        <v>#VALUE!</v>
      </c>
    </row>
    <row r="58" spans="2:12">
      <c r="C58" t="s">
        <v>2405</v>
      </c>
      <c r="D58" s="216" cm="1">
        <f t="array" ref="D58">SUMPRODUCT(
    --((ISNUMBER(SEARCH("E,", 'Inventory - Public Private FMS'!$H$165:$H$1792)) +
        ISNUMBER(SEARCH("E", 'Inventory - Public Private FMS'!$H$165:$H$1792))) &gt; 0),
    --(ISNUMBER(SEARCH("Label Rouge", 'Inventory - Public Private FMS'!$P$165:$P$1792)))
)</f>
        <v>329</v>
      </c>
      <c r="E58" s="218" cm="1">
        <f t="array" ref="E58">SUMPRODUCT(
    --((ISNUMBER(SEARCH("E,", 'Inventory - Public Private FMS'!$H$165:$H$1792))) +
      (ISNUMBER(SEARCH("E",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58" s="218" cm="1">
        <f t="array" ref="F58">SUMPRODUCT(
    --((ISNUMBER(SEARCH("E,", 'Inventory - Public Private FMS'!$H$165:$H$1792))) +
      (ISNUMBER(SEARCH("E",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58" s="218" cm="1">
        <f t="array" ref="G58">SUMPRODUCT(
    --((ISNUMBER(SEARCH("E,", 'Inventory - Public Private FMS'!$H$165:$H$1792))) +
      (ISNUMBER(SEARCH("E",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58" s="218" cm="1">
        <f t="array" ref="H58">SUMPRODUCT(
    --((ISNUMBER(SEARCH("E,", 'Inventory - Public Private FMS'!$H$165:$H$1792))) +
      (ISNUMBER(SEARCH("E",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58" s="218" cm="1">
        <f t="array" ref="I58">SUMPRODUCT(
    --((ISNUMBER(SEARCH("E,", 'Inventory - Public Private FMS'!$H$165:$H$1792))) +
      (ISNUMBER(SEARCH("E",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58" s="218" cm="1">
        <f t="array" ref="J58">SUMPRODUCT(
    --((ISNUMBER(SEARCH("E,", 'Inventory - Public Private FMS'!$H$165:$H$1792))) +
      (ISNUMBER(SEARCH("E", 'Inventory - Public Private FMS'!$H$165:$H$1792))) &gt; 0),
    --(ISNUMBER(SEARCH("Label Rouge", 'Inventory - Public Private FMS'!$P$165:$P$1792))),
    --(
        (ISNUMBER(SEARCH("Eggs", 'Inventory - Public Private FMS'!$F$165:$F$1792))) +
        (ISNUMBER(SEARCH("All food commodities", 'Inventory - Public Private FMS'!$F$165:$F$1792))
    ) &gt; 0
))</f>
        <v>14</v>
      </c>
      <c r="K58" s="218" cm="1">
        <f t="array" ref="K58">SUMPRODUCT(
    --((ISNUMBER(SEARCH("E,", 'Inventory - Public Private FMS'!$H$165:$H$1792))) +
      (ISNUMBER(SEARCH("E",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20</v>
      </c>
      <c r="L58" s="218" cm="1">
        <f t="array" ref="L58">SUMPRODUCT(
    --((ISNUMBER(SEARCH("E,", 'Inventory - Public Private FMS'!$H$165:$H$1792))) +
      (ISNUMBER(SEARCH("E", 'Inventory - Public Private FMS'!$H$165:$H$1792))) &gt; 0),
    --(ISNUMBER(SEARCH("Label Rouge", 'Inventory - Public Private FMS'!$P$165:$P$1792))),
    --(
        (ISNUMBER(SEARCH("Cereals", 'Inventory - Public Private FMS'!$F$165:$F$1792))) +
        (ISNUMBER(SEARCH("All food commodities", 'Inventory - Public Private FMS'!$F$165:$F$1792))
    ) &gt; 0
))</f>
        <v>7</v>
      </c>
    </row>
    <row r="59" spans="2:12">
      <c r="C59" t="s">
        <v>3964</v>
      </c>
      <c r="D59" s="216" t="e" cm="1">
        <f t="array" ref="D59">SUMPRODUCT(
    --((ISNUMBER(SEARCH("E,", 'Inventory - Public Private FMS'!$H$165:$H$1792)) +
        ISNUMBER(SEARCH("E",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59" s="283" t="e" cm="1">
        <f t="array" ref="E59">SUMPRODUCT(
    --((ISNUMBER(SEARCH("E,", 'Inventory - Public Private FMS'!$H$165:$H$1792)) +
        ISNUMBER(SEARCH("E",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59" s="283" t="e" cm="1">
        <f t="array" ref="F59">SUMPRODUCT(
--((ISNUMBER(SEARCH("E,",'Inventory - Public Private FMS'!$H$165:$H$1792))+
ISNUMBER(SEARCH("E",'Inventory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59" s="283" t="e" cm="1">
        <f t="array" ref="G59">SUMPRODUCT(
--((ISNUMBER(SEARCH("E,",'Inventory - Public Private FMS'!$H$165:$H$1792))+
ISNUMBER(SEARCH("E",'Inventory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59" s="283" t="e" cm="1">
        <f t="array" ref="H59">SUMPRODUCT(
--((ISNUMBER(SEARCH("E,",'Inventory - Public Private FMS'!$H$165:$H$1792))+
ISNUMBER(SEARCH("E",'Inventory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59" s="283" t="e" cm="1">
        <f t="array" ref="I59">SUMPRODUCT(
--((ISNUMBER(SEARCH("E,",'Inventory - Public Private FMS'!$H$165:$H$1792))+
ISNUMBER(SEARCH("E",'Inventory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59" s="283" t="e" cm="1">
        <f t="array" ref="J59">SUMPRODUCT(
    --((ISNUMBER(SEARCH("E,", 'Inventory - Public Private FMS'!$H$165:$H$1792)) +
        ISNUMBER(SEARCH("E",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59" s="283" t="e" cm="1">
        <f t="array" ref="K59">SUMPRODUCT(
    --((ISNUMBER(SEARCH("E,", 'Inventory - Public Private FMS'!$H$165:$H$1792)) +
        ISNUMBER(SEARCH("E",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59" s="283" t="e" cm="1">
        <f t="array" ref="L59">SUMPRODUCT(
    --((ISNUMBER(SEARCH("E,", 'Inventory - Public Private FMS'!$H$165:$H$1792)) +
        ISNUMBER(SEARCH("E",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60" spans="2:12">
      <c r="C60" t="s">
        <v>3965</v>
      </c>
      <c r="D60" s="216" cm="1">
        <f t="array" ref="D60">SUMPRODUCT(
    --((ISNUMBER(SEARCH("E,", 'Inventory - Public Private FMS'!$H$165:$H$1792)) +
        ISNUMBER(SEARCH("E", 'Inventory - Public Private FMS'!$H$165:$H$1792))) &gt; 0),
    --(ISNUMBER(SEARCH("Private", 'Inventory - Public Private FMS'!$L$165:$L$1792)))
)</f>
        <v>0</v>
      </c>
      <c r="E60" s="218" cm="1">
        <f t="array" ref="E60">SUMPRODUCT(
    --((ISNUMBER(SEARCH("E,", 'Inventory - Public Private FMS'!$H$165:$H$1792))) +
      (ISNUMBER(SEARCH("E",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60" s="218" cm="1">
        <f t="array" ref="F60">SUMPRODUCT(
    --((ISNUMBER(SEARCH("E,", 'Inventory - Public Private FMS'!$H$165:$H$1792))) +
      (ISNUMBER(SEARCH("E",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60" s="218" cm="1">
        <f t="array" ref="G60">SUMPRODUCT(
    --((ISNUMBER(SEARCH("E,", 'Inventory - Public Private FMS'!$H$165:$H$1792))) +
      (ISNUMBER(SEARCH("E",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60" s="218" cm="1">
        <f t="array" ref="H60">SUMPRODUCT(
    --((ISNUMBER(SEARCH("E,", 'Inventory - Public Private FMS'!$H$165:$H$1792))) +
      (ISNUMBER(SEARCH("E",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60" s="218" cm="1">
        <f t="array" ref="I60">SUMPRODUCT(
    --((ISNUMBER(SEARCH("E,", 'Inventory - Public Private FMS'!$H$165:$H$1792))) +
      (ISNUMBER(SEARCH("E",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60" s="218" cm="1">
        <f t="array" ref="J60">SUMPRODUCT(
    --((ISNUMBER(SEARCH("E,", 'Inventory - Public Private FMS'!$H$165:$H$1792))) +
      (ISNUMBER(SEARCH("E", 'Inventory - Public Private FMS'!$H$165:$H$1792))) &gt; 0),
    --(ISNUMBER(SEARCH("Private", 'Inventory - Public Private FMS'!$L$165:$L$1792))),
    --(
        (ISNUMBER(SEARCH("Eggs", 'Inventory - Public Private FMS'!$F$165:$F$1792))) +
        (ISNUMBER(SEARCH("All food commodities", 'Inventory - Public Private FMS'!$F$165:$F$1792))
    ) &gt; 0
))</f>
        <v>0</v>
      </c>
      <c r="K60" s="218" cm="1">
        <f t="array" ref="K60">SUMPRODUCT(
    --((ISNUMBER(SEARCH("E,", 'Inventory - Public Private FMS'!$H$165:$H$1792))) +
      (ISNUMBER(SEARCH("E",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60" s="218" cm="1">
        <f t="array" ref="L60">SUMPRODUCT(
    --((ISNUMBER(SEARCH("E,", 'Inventory - Public Private FMS'!$H$165:$H$1792))) +
      (ISNUMBER(SEARCH("E", 'Inventory - Public Private FMS'!$H$165:$H$1792))) &gt; 0),
    --(ISNUMBER(SEARCH("Private", 'Inventory - Public Private FMS'!$L$165:$L$1792))),
    --(
        (ISNUMBER(SEARCH("Cereals", 'Inventory - Public Private FMS'!$F$165:$F$1792))) +
        (ISNUMBER(SEARCH("All food commodities", 'Inventory - Public Private FMS'!$F$165:$F$1792))
    ) &gt; 0
))</f>
        <v>0</v>
      </c>
    </row>
    <row r="61" spans="2:12">
      <c r="B61" s="280" t="s">
        <v>666</v>
      </c>
      <c r="C61" s="280" t="s">
        <v>3957</v>
      </c>
      <c r="D61" s="216" cm="1">
        <f t="array" ref="D61">SUMPRODUCT(
--((ISNUMBER(SEARCH("F,",'Inventory - Public Private FMS'!$H$165:$H$1792)))+
(ISNUMBER(SEARCH("F",'Inventory - Public Private FMS'!$H$165:$H$1792)))&gt;0))</f>
        <v>416</v>
      </c>
      <c r="E61" s="218" cm="1">
        <f t="array" ref="E61">SUMPRODUCT(
    --((ISNUMBER(SEARCH("F,", 'Inventory - Public Private FMS'!$H$165:$H$1792))) +
      (ISNUMBER(SEARCH("F", 'Inventory - Public Private FMS'!$H$165:$H$1792))) &gt; 0),
    --(
        (ISNUMBER(SEARCH("Fruits", 'Inventory - Public Private FMS'!$F$165:$F$1792))) +
        (ISNUMBER(SEARCH("Vegetables", 'Inventory - Public Private FMS'!$F$165:$F$1792))) +
        (ISNUMBER(SEARCH("All food commodities", 'Inventory - Public Private FMS'!$F$165:$F$1792))
    ) &gt; 0
))</f>
        <v>84</v>
      </c>
      <c r="F61" s="218" cm="1">
        <f t="array" ref="F61">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39</v>
      </c>
      <c r="G61" s="218" cm="1">
        <f t="array" ref="G61">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39</v>
      </c>
      <c r="H61" s="218" cm="1">
        <f t="array" ref="H61">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218</v>
      </c>
      <c r="I61" s="218" cm="1">
        <f t="array" ref="I61">SUMPRODUCT(
    --((ISNUMBER(SEARCH("F,", 'Inventory - Public Private FMS'!$H$165:$H$1792))) +
      (ISNUMBER(SEARCH("F",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273</v>
      </c>
      <c r="J61" s="218" cm="1">
        <f t="array" ref="J61">SUMPRODUCT(
    --((ISNUMBER(SEARCH("F,", 'Inventory - Public Private FMS'!$H$165:$H$1792))) +
      (ISNUMBER(SEARCH("F", 'Inventory - Public Private FMS'!$H$165:$H$1792))) &gt; 0),
    --(
        (ISNUMBER(SEARCH("Eggs", 'Inventory - Public Private FMS'!$F$165:$F$1792))) +
        (ISNUMBER(SEARCH("All food commodities", 'Inventory - Public Private FMS'!$F$165:$F$1792))
    ) &gt; 0
))</f>
        <v>20</v>
      </c>
      <c r="K61" s="218" cm="1">
        <f t="array" ref="K61">SUMPRODUCT(
    --((ISNUMBER(SEARCH("F,", 'Inventory - Public Private FMS'!$H$165:$H$1792))) +
      (ISNUMBER(SEARCH("F", 'Inventory - Public Private FMS'!$H$165:$H$1792))) &gt; 0),
    --(
        (ISNUMBER(SEARCH("Fish", 'Inventory - Public Private FMS'!$F$165:$F$1792))) +
        (ISNUMBER(SEARCH("Aquaculture", 'Inventory - Public Private FMS'!$F$165:$F$1792))) +
        (ISNUMBER(SEARCH("All food commodities", 'Inventory - Public Private FMS'!$F$165:$F$1792))
    ) &gt; 0
))</f>
        <v>38</v>
      </c>
      <c r="L61" s="218" cm="1">
        <f t="array" ref="L61">SUMPRODUCT(
    --((ISNUMBER(SEARCH("F,", 'Inventory - Public Private FMS'!$H$165:$H$1792))) +
      (ISNUMBER(SEARCH("F", 'Inventory - Public Private FMS'!$H$165:$H$1792))) &gt; 0),
    --(
        (ISNUMBER(SEARCH("Cereals", 'Inventory - Public Private FMS'!$F$165:$F$1792))) +
        (ISNUMBER(SEARCH("All food commodities", 'Inventory - Public Private FMS'!$F$165:$F$1792))
    ) &gt; 0
))</f>
        <v>30</v>
      </c>
    </row>
    <row r="62" spans="2:12">
      <c r="C62" t="s">
        <v>263</v>
      </c>
      <c r="D62" s="216" t="e" cm="1">
        <f t="array" ref="D62">SUMPRODUCT(
    --((ISNUMBER(SEARCH("F,", 'Inventory - Public Private FMS'!$H$165:$H$1792)) +
        ISNUMBER(SEARCH("F", 'Inventory - Public Private FMS'!$H$165:$H$1792))) &gt; 0),
    --(ISNUMBER(SEARCH("EU", 'Inventory - Public Private FMS'!#REF!)))
)</f>
        <v>#VALUE!</v>
      </c>
      <c r="E62" s="218" t="e" cm="1">
        <f t="array" ref="E62">SUMPRODUCT(
    --((ISNUMBER(SEARCH("F,", 'Inventory - Public Private FMS'!$H$165:$H$1792))) +
      (ISNUMBER(SEARCH("F",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62" s="218" t="e" cm="1">
        <f t="array" ref="F62">SUMPRODUCT(
    --((ISNUMBER(SEARCH("F,", 'Inventory - Public Private FMS'!$H$165:$H$1792))) +
      (ISNUMBER(SEARCH("F",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62" s="218" t="e" cm="1">
        <f t="array" ref="G62">SUMPRODUCT(
    --((ISNUMBER(SEARCH("F,", 'Inventory - Public Private FMS'!$H$165:$H$1792))) +
      (ISNUMBER(SEARCH("F",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62" s="218" t="e" cm="1">
        <f t="array" ref="H62">SUMPRODUCT(
    --((ISNUMBER(SEARCH("F,", 'Inventory - Public Private FMS'!$H$165:$H$1792))) +
      (ISNUMBER(SEARCH("F",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62" s="218" t="e" cm="1">
        <f t="array" ref="I62">SUMPRODUCT(
    --((ISNUMBER(SEARCH("F,", 'Inventory - Public Private FMS'!$H$165:$H$1792))) +
      (ISNUMBER(SEARCH("F",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62" s="218" t="e" cm="1">
        <f t="array" ref="J62">SUMPRODUCT(
    --((ISNUMBER(SEARCH("F,", 'Inventory - Public Private FMS'!$H$165:$H$1792))) +
      (ISNUMBER(SEARCH("F", 'Inventory - Public Private FMS'!$H$165:$H$1792))) &gt; 0),
    --(ISNUMBER(SEARCH("EU", 'Inventory - Public Private FMS'!#REF!))),
    --(
        (ISNUMBER(SEARCH("Eggs", 'Inventory - Public Private FMS'!$F$165:$F$1792))) +
        (ISNUMBER(SEARCH("All food commodities", 'Inventory - Public Private FMS'!$F$165:$F$1792))
    ) &gt; 0))</f>
        <v>#VALUE!</v>
      </c>
      <c r="K62" s="218" t="e" cm="1">
        <f t="array" ref="K62">SUMPRODUCT(
    --((ISNUMBER(SEARCH("F,", 'Inventory - Public Private FMS'!$H$165:$H$1792))) +
      (ISNUMBER(SEARCH("F",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62" s="218" t="e" cm="1">
        <f t="array" ref="L62">SUMPRODUCT(
    --((ISNUMBER(SEARCH("F,", 'Inventory - Public Private FMS'!$H$165:$H$1792))) +
      (ISNUMBER(SEARCH("F", 'Inventory - Public Private FMS'!$H$165:$H$1792))) &gt; 0),
    --(ISNUMBER(SEARCH("EU", 'Inventory - Public Private FMS'!#REF!))),
    --(
        (ISNUMBER(SEARCH("Cereals", 'Inventory - Public Private FMS'!$F$165:$F$1792))) +
        (ISNUMBER(SEARCH("All food commodities", 'Inventory - Public Private FMS'!$F$165:$F$1792))
    ) &gt; 0
))</f>
        <v>#VALUE!</v>
      </c>
    </row>
    <row r="63" spans="2:12">
      <c r="C63" t="s">
        <v>3928</v>
      </c>
      <c r="D63" s="216" t="e" cm="1">
        <f t="array" ref="D63">SUMPRODUCT(
    --((ISNUMBER(SEARCH("F,", 'Inventory - Public Private FMS'!$H$165:$H$1792)) +
        ISNUMBER(SEARCH("F", 'Inventory - Public Private FMS'!$H$165:$H$1792))) &gt; 0),
    --(ISNUMBER(SEARCH("OECD", 'Inventory - Public Private FMS'!#REF!)))
)</f>
        <v>#VALUE!</v>
      </c>
      <c r="E63" s="218" t="e" cm="1">
        <f t="array" ref="E63">SUMPRODUCT(
    --((ISNUMBER(SEARCH("F,", 'Inventory - Public Private FMS'!$H$165:$H$1792))) +
      (ISNUMBER(SEARCH("F",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63" s="218" t="e" cm="1">
        <f t="array" ref="F63">SUMPRODUCT(
    --((ISNUMBER(SEARCH("F,", 'Inventory - Public Private FMS'!$H$165:$H$1792))) +
      (ISNUMBER(SEARCH("F",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63" s="218" t="e" cm="1">
        <f t="array" ref="G63">SUMPRODUCT(
    --((ISNUMBER(SEARCH("F,", 'Inventory - Public Private FMS'!$H$165:$H$1792))) +
      (ISNUMBER(SEARCH("F",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63" s="218" t="e" cm="1">
        <f t="array" ref="H63">SUMPRODUCT(
    --((ISNUMBER(SEARCH("F,", 'Inventory - Public Private FMS'!$H$165:$H$1792))) +
      (ISNUMBER(SEARCH("F",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63" s="218" t="e" cm="1">
        <f t="array" ref="I63">SUMPRODUCT(
    --((ISNUMBER(SEARCH("F,", 'Inventory - Public Private FMS'!$H$165:$H$1792))) +
      (ISNUMBER(SEARCH("F",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63" s="218" t="e" cm="1">
        <f t="array" ref="J63">SUMPRODUCT(
    --((ISNUMBER(SEARCH("F,", 'Inventory - Public Private FMS'!$H$165:$H$1792))) +
      (ISNUMBER(SEARCH("F", 'Inventory - Public Private FMS'!$H$165:$H$1792))) &gt; 0),
    --(ISNUMBER(SEARCH("OECD", 'Inventory - Public Private FMS'!#REF!))),
    --(
        (ISNUMBER(SEARCH("Eggs", 'Inventory - Public Private FMS'!$F$165:$F$1792))) +
        (ISNUMBER(SEARCH("All food commodities", 'Inventory - Public Private FMS'!$F$165:$F$1792))
    ) &gt; 0
))</f>
        <v>#VALUE!</v>
      </c>
      <c r="K63" s="218" t="e" cm="1">
        <f t="array" ref="K63">SUMPRODUCT(
    --((ISNUMBER(SEARCH("F,", 'Inventory - Public Private FMS'!$H$165:$H$1792))) +
      (ISNUMBER(SEARCH("F",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63" s="218" t="e" cm="1">
        <f t="array" ref="L63">SUMPRODUCT(
    --((ISNUMBER(SEARCH("F,", 'Inventory - Public Private FMS'!$H$165:$H$1792))) +
      (ISNUMBER(SEARCH("F", 'Inventory - Public Private FMS'!$H$165:$H$1792))) &gt; 0),
    --(ISNUMBER(SEARCH("OECD", 'Inventory - Public Private FMS'!#REF!))),
    --(
        (ISNUMBER(SEARCH("Cereals", 'Inventory - Public Private FMS'!$F$165:$F$1792))) +
        (ISNUMBER(SEARCH("All food commodities", 'Inventory - Public Private FMS'!$F$165:$F$1792))
    ) &gt; 0
))</f>
        <v>#VALUE!</v>
      </c>
    </row>
    <row r="64" spans="2:12">
      <c r="C64" t="s">
        <v>3926</v>
      </c>
      <c r="D64" s="216" t="e" cm="1">
        <f t="array" ref="D64">SUMPRODUCT(
    --((ISNUMBER(SEARCH("F,", 'Inventory - Public Private FMS'!$H$165:$H$1792)) +
        ISNUMBER(SEARCH("F", 'Inventory - Public Private FMS'!$H$165:$H$1792))) &gt; 0),
    --(ISNUMBER(SEARCH("UNECE", 'Inventory - Public Private FMS'!#REF!)))
)</f>
        <v>#VALUE!</v>
      </c>
      <c r="E64" s="218" t="e" cm="1">
        <f t="array" ref="E64">SUMPRODUCT(
    --((ISNUMBER(SEARCH("F,", 'Inventory - Public Private FMS'!$H$165:$H$1792))) +
      (ISNUMBER(SEARCH("F",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64" s="218" t="e" cm="1">
        <f t="array" ref="F64">SUMPRODUCT(
    --((ISNUMBER(SEARCH("F,", 'Inventory - Public Private FMS'!$H$165:$H$1792))) +
      (ISNUMBER(SEARCH("F",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64" s="218" t="e" cm="1">
        <f t="array" ref="G64">SUMPRODUCT(
    --((ISNUMBER(SEARCH("F,", 'Inventory - Public Private FMS'!$H$165:$H$1792))) +
      (ISNUMBER(SEARCH("F",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64" s="218" t="e" cm="1">
        <f t="array" ref="H64">SUMPRODUCT(
    --((ISNUMBER(SEARCH("F,", 'Inventory - Public Private FMS'!$H$165:$H$1792))) +
      (ISNUMBER(SEARCH("F",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64" s="218" t="e" cm="1">
        <f t="array" ref="I64">SUMPRODUCT(
    --((ISNUMBER(SEARCH("F,", 'Inventory - Public Private FMS'!$H$165:$H$1792))) +
      (ISNUMBER(SEARCH("F",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64" s="218" t="e" cm="1">
        <f t="array" ref="J64">SUMPRODUCT(
    --((ISNUMBER(SEARCH("F,", 'Inventory - Public Private FMS'!$H$165:$H$1792))) +
      (ISNUMBER(SEARCH("F", 'Inventory - Public Private FMS'!$H$165:$H$1792))) &gt; 0),
    --(ISNUMBER(SEARCH("UNECE", 'Inventory - Public Private FMS'!#REF!))),
     --(
        (ISNUMBER(SEARCH("Eggs", 'Inventory - Public Private FMS'!$F$165:$F$1792))) +
        (ISNUMBER(SEARCH("All food commodities", 'Inventory - Public Private FMS'!$F$165:$F$1792))
    ) &gt; 0
))</f>
        <v>#VALUE!</v>
      </c>
      <c r="K64" s="218" t="e" cm="1">
        <f t="array" ref="K64">SUMPRODUCT(
    --((ISNUMBER(SEARCH("F,", 'Inventory - Public Private FMS'!$H$165:$H$1792))) +
      (ISNUMBER(SEARCH("F",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64" s="218" t="e" cm="1">
        <f t="array" ref="L64">SUMPRODUCT(
    --((ISNUMBER(SEARCH("F,", 'Inventory - Public Private FMS'!$H$165:$H$1792))) +
      (ISNUMBER(SEARCH("F", 'Inventory - Public Private FMS'!$H$165:$H$1792))) &gt; 0),
    --(ISNUMBER(SEARCH("UNECE", 'Inventory - Public Private FMS'!#REF!))),
    --(
        (ISNUMBER(SEARCH("Cereals", 'Inventory - Public Private FMS'!$F$165:$F$1792))) +
        (ISNUMBER(SEARCH("All food commodities", 'Inventory - Public Private FMS'!$F$165:$F$1792))
    ) &gt; 0
))</f>
        <v>#VALUE!</v>
      </c>
    </row>
    <row r="65" spans="2:12">
      <c r="C65" t="s">
        <v>3930</v>
      </c>
      <c r="D65" s="216" t="e" cm="1">
        <f t="array" ref="D65">SUMPRODUCT(
    --((ISNUMBER(SEARCH("F,", 'Inventory - Public Private FMS'!$H$165:$H$1792)) +
        ISNUMBER(SEARCH("F", 'Inventory - Public Private FMS'!$H$165:$H$1792))) &gt; 0),
    --(ISNUMBER(SEARCH("Codex Alimentarius", 'Inventory - Public Private FMS'!#REF!)))
)</f>
        <v>#VALUE!</v>
      </c>
      <c r="E65" s="218" t="e" cm="1">
        <f t="array" ref="E65">SUMPRODUCT(
    --((ISNUMBER(SEARCH("F,", 'Inventory - Public Private FMS'!$H$165:$H$1792))) +
      (ISNUMBER(SEARCH("F",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65" s="218" t="e" cm="1">
        <f t="array" ref="F65">SUMPRODUCT(
    --((ISNUMBER(SEARCH("F,", 'Inventory - Public Private FMS'!$H$165:$H$1792))) +
      (ISNUMBER(SEARCH("F",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65" s="218" t="e" cm="1">
        <f t="array" ref="G65">SUMPRODUCT(
    --((ISNUMBER(SEARCH("F,", 'Inventory - Public Private FMS'!$H$165:$H$1792))) +
      (ISNUMBER(SEARCH("F",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65" s="218" t="e" cm="1">
        <f t="array" ref="H65">SUMPRODUCT(
    --((ISNUMBER(SEARCH("F,", 'Inventory - Public Private FMS'!$H$165:$H$1792))) +
      (ISNUMBER(SEARCH("F",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65" s="218" t="e" cm="1">
        <f t="array" ref="I65">SUMPRODUCT(
    --((ISNUMBER(SEARCH("F,", 'Inventory - Public Private FMS'!$H$165:$H$1792))) +
      (ISNUMBER(SEARCH("F",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65" s="218" t="e" cm="1">
        <f t="array" ref="J65">SUMPRODUCT(
    --((ISNUMBER(SEARCH("F,", 'Inventory - Public Private FMS'!$H$165:$H$1792))) +
      (ISNUMBER(SEARCH("F", 'Inventory - Public Private FMS'!$H$165:$H$1792))) &gt; 0),
    --(ISNUMBER(SEARCH("Codex Alimentarius", 'Inventory - Public Private FMS'!#REF!))),
    --(
        (ISNUMBER(SEARCH("Eggs", 'Inventory - Public Private FMS'!$F$165:$F$1792))) +
        (ISNUMBER(SEARCH("All food commodities", 'Inventory - Public Private FMS'!$F$165:$F$1792))
    ) &gt; 0
))</f>
        <v>#VALUE!</v>
      </c>
      <c r="K65" s="218" t="e" cm="1">
        <f t="array" ref="K65">SUMPRODUCT(
    --((ISNUMBER(SEARCH("F,", 'Inventory - Public Private FMS'!$H$165:$H$1792))) +
      (ISNUMBER(SEARCH("F",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65" s="218" t="e" cm="1">
        <f t="array" ref="L65">SUMPRODUCT(
    --((ISNUMBER(SEARCH("F,", 'Inventory - Public Private FMS'!$H$165:$H$1792))) +
      (ISNUMBER(SEARCH("F", 'Inventory - Public Private FMS'!$H$165:$H$1792))) &gt; 0),
    --(ISNUMBER(SEARCH("Codex Alimentarius", 'Inventory - Public Private FMS'!#REF!))),
    --(
        (ISNUMBER(SEARCH("Cereals", 'Inventory - Public Private FMS'!$F$165:$F$1792))) +
        (ISNUMBER(SEARCH("All food commodities", 'Inventory - Public Private FMS'!$F$165:$F$1792))
    ) &gt; 0
))</f>
        <v>#VALUE!</v>
      </c>
    </row>
    <row r="66" spans="2:12">
      <c r="C66" t="s">
        <v>2405</v>
      </c>
      <c r="D66" s="216" cm="1">
        <f t="array" ref="D66">SUMPRODUCT(
    --((ISNUMBER(SEARCH("F,", 'Inventory - Public Private FMS'!$H$165:$H$1792)) +
        ISNUMBER(SEARCH("F", 'Inventory - Public Private FMS'!$H$165:$H$1792))) &gt; 0),
    --(ISNUMBER(SEARCH("Label Rouge", 'Inventory - Public Private FMS'!$P$165:$P$1792)))
)</f>
        <v>329</v>
      </c>
      <c r="E66" s="218" cm="1">
        <f t="array" ref="E66">SUMPRODUCT(
    --((ISNUMBER(SEARCH("F,", 'Inventory - Public Private FMS'!$H$165:$H$1792))) +
      (ISNUMBER(SEARCH("F",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66" s="218" cm="1">
        <f t="array" ref="F66">SUMPRODUCT(
    --((ISNUMBER(SEARCH("F,", 'Inventory - Public Private FMS'!$H$165:$H$1792))) +
      (ISNUMBER(SEARCH("F",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66" s="218" cm="1">
        <f t="array" ref="G66">SUMPRODUCT(
    --((ISNUMBER(SEARCH("F,", 'Inventory - Public Private FMS'!$H$165:$H$1792))) +
      (ISNUMBER(SEARCH("F",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66" s="218" cm="1">
        <f t="array" ref="H66">SUMPRODUCT(
    --((ISNUMBER(SEARCH("F,", 'Inventory - Public Private FMS'!$H$165:$H$1792))) +
      (ISNUMBER(SEARCH("F",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66" s="218" cm="1">
        <f t="array" ref="I66">SUMPRODUCT(
    --((ISNUMBER(SEARCH("F,", 'Inventory - Public Private FMS'!$H$165:$H$1792))) +
      (ISNUMBER(SEARCH("F",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66" s="218" cm="1">
        <f t="array" ref="J66">SUMPRODUCT(
    --((ISNUMBER(SEARCH("F,", 'Inventory - Public Private FMS'!$H$165:$H$1792))) +
      (ISNUMBER(SEARCH("F", 'Inventory - Public Private FMS'!$H$165:$H$1792))) &gt; 0),
    --(ISNUMBER(SEARCH("Label Rouge", 'Inventory - Public Private FMS'!$P$165:$P$1792))),
    --(
        (ISNUMBER(SEARCH("Eggs", 'Inventory - Public Private FMS'!$F$165:$F$1792))) +
        (ISNUMBER(SEARCH("All food commodities", 'Inventory - Public Private FMS'!$F$165:$F$1792))
    ) &gt; 0
))</f>
        <v>14</v>
      </c>
      <c r="K66" s="218" cm="1">
        <f t="array" ref="K66">SUMPRODUCT(
    --((ISNUMBER(SEARCH("F,", 'Inventory - Public Private FMS'!$H$165:$H$1792))) +
      (ISNUMBER(SEARCH("F",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20</v>
      </c>
      <c r="L66" s="218" cm="1">
        <f t="array" ref="L66">SUMPRODUCT(
    --((ISNUMBER(SEARCH("F,", 'Inventory - Public Private FMS'!$H$165:$H$1792))) +
      (ISNUMBER(SEARCH("F", 'Inventory - Public Private FMS'!$H$165:$H$1792))) &gt; 0),
    --(ISNUMBER(SEARCH("Label Rouge", 'Inventory - Public Private FMS'!$P$165:$P$1792))),
    --(
        (ISNUMBER(SEARCH("Cereals", 'Inventory - Public Private FMS'!$F$165:$F$1792))) +
        (ISNUMBER(SEARCH("All food commodities", 'Inventory - Public Private FMS'!$F$165:$F$1792))
    ) &gt; 0
))</f>
        <v>7</v>
      </c>
    </row>
    <row r="67" spans="2:12">
      <c r="C67" t="s">
        <v>3964</v>
      </c>
      <c r="D67" s="216" t="e" cm="1">
        <f t="array" ref="D67">SUMPRODUCT(
    --((ISNUMBER(SEARCH("F,", 'Inventory - Public Private FMS'!$H$165:$H$1792)) +
        ISNUMBER(SEARCH("F",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67" s="283" t="e" cm="1">
        <f t="array" ref="E67">SUMPRODUCT(
    --((ISNUMBER(SEARCH("F,", 'Inventory - Public Private FMS'!$H$165:$H$1792)) +
        ISNUMBER(SEARCH("F",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67" s="283" t="e" cm="1">
        <f t="array" ref="F67">SUMPRODUCT(
--((ISNUMBER(SEARCH("F,",'Inventory - Public Private FMS'!$H$165:$H$1792))+
ISNUMBER(SEARCH("F",'Inventory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67" s="283" t="e" cm="1">
        <f t="array" ref="G67">SUMPRODUCT(
--((ISNUMBER(SEARCH("F,",'Inventory - Public Private FMS'!$H$165:$H$1792))+
ISNUMBER(SEARCH("F",'Inventory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67" s="283" t="e" cm="1">
        <f t="array" ref="H67">SUMPRODUCT(
--((ISNUMBER(SEARCH("F,",'Inventory - Public Private FMS'!$H$165:$H$1792))+
ISNUMBER(SEARCH("F",'Inventory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67" s="283" t="e" cm="1">
        <f t="array" ref="I67">SUMPRODUCT(
--((ISNUMBER(SEARCH("F,",'Inventory - Public Private FMS'!$H$165:$H$1792))+
ISNUMBER(SEARCH("F",'Inventory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67" s="283" t="e" cm="1">
        <f t="array" ref="J67">SUMPRODUCT(
    --((ISNUMBER(SEARCH("F,", 'Inventory - Public Private FMS'!$H$165:$H$1792)) +
        ISNUMBER(SEARCH("F",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67" s="283" t="e" cm="1">
        <f t="array" ref="K67">SUMPRODUCT(
    --((ISNUMBER(SEARCH("F,", 'Inventory - Public Private FMS'!$H$165:$H$1792)) +
        ISNUMBER(SEARCH("F",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67" s="283" t="e" cm="1">
        <f t="array" ref="L67">SUMPRODUCT(
    --((ISNUMBER(SEARCH("F,", 'Inventory - Public Private FMS'!$H$165:$H$1792)) +
        ISNUMBER(SEARCH("F",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68" spans="2:12">
      <c r="C68" t="s">
        <v>3965</v>
      </c>
      <c r="D68" s="216" cm="1">
        <f t="array" ref="D68">SUMPRODUCT(
    --((ISNUMBER(SEARCH("F,", 'Inventory - Public Private FMS'!$H$165:$H$1792)) +
        ISNUMBER(SEARCH("F", 'Inventory - Public Private FMS'!$H$165:$H$1792))) &gt; 0),
    --(ISNUMBER(SEARCH("Private", 'Inventory - Public Private FMS'!$L$165:$L$1792)))
)</f>
        <v>0</v>
      </c>
      <c r="E68" s="218" cm="1">
        <f t="array" ref="E68">SUMPRODUCT(
    --((ISNUMBER(SEARCH("F,", 'Inventory - Public Private FMS'!$H$165:$H$1792))) +
      (ISNUMBER(SEARCH("F",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68" s="218" cm="1">
        <f t="array" ref="F68">SUMPRODUCT(
    --((ISNUMBER(SEARCH("F,", 'Inventory - Public Private FMS'!$H$165:$H$1792))) +
      (ISNUMBER(SEARCH("F",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68" s="218" cm="1">
        <f t="array" ref="G68">SUMPRODUCT(
    --((ISNUMBER(SEARCH("F,", 'Inventory - Public Private FMS'!$H$165:$H$1792))) +
      (ISNUMBER(SEARCH("F",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68" s="218" cm="1">
        <f t="array" ref="H68">SUMPRODUCT(
    --((ISNUMBER(SEARCH("F,", 'Inventory - Public Private FMS'!$H$165:$H$1792))) +
      (ISNUMBER(SEARCH("F",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68" s="218" cm="1">
        <f t="array" ref="I68">SUMPRODUCT(
    --((ISNUMBER(SEARCH("F,", 'Inventory - Public Private FMS'!$H$165:$H$1792))) +
      (ISNUMBER(SEARCH("F",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68" s="218" cm="1">
        <f t="array" ref="J68">SUMPRODUCT(
    --((ISNUMBER(SEARCH("F,", 'Inventory - Public Private FMS'!$H$165:$H$1792))) +
      (ISNUMBER(SEARCH("F", 'Inventory - Public Private FMS'!$H$165:$H$1792))) &gt; 0),
    --(ISNUMBER(SEARCH("Private", 'Inventory - Public Private FMS'!$L$165:$L$1792))),
    --(
        (ISNUMBER(SEARCH("Eggs", 'Inventory - Public Private FMS'!$F$165:$F$1792))) +
        (ISNUMBER(SEARCH("All food commodities", 'Inventory - Public Private FMS'!$F$165:$F$1792))
    ) &gt; 0
))</f>
        <v>0</v>
      </c>
      <c r="K68" s="218" cm="1">
        <f t="array" ref="K68">SUMPRODUCT(
    --((ISNUMBER(SEARCH("F,", 'Inventory - Public Private FMS'!$H$165:$H$1792))) +
      (ISNUMBER(SEARCH("F",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68" s="218" cm="1">
        <f t="array" ref="L68">SUMPRODUCT(
    --((ISNUMBER(SEARCH("F,", 'Inventory - Public Private FMS'!$H$165:$H$1792))) +
      (ISNUMBER(SEARCH("F", 'Inventory - Public Private FMS'!$H$165:$H$1792))) &gt; 0),
    --(ISNUMBER(SEARCH("Private", 'Inventory - Public Private FMS'!$L$165:$L$1792))),
    --(
        (ISNUMBER(SEARCH("Cereals", 'Inventory - Public Private FMS'!$F$165:$F$1792))) +
        (ISNUMBER(SEARCH("All food commodities", 'Inventory - Public Private FMS'!$F$165:$F$1792))
    ) &gt; 0
))</f>
        <v>0</v>
      </c>
    </row>
    <row r="69" spans="2:12">
      <c r="B69" s="280" t="s">
        <v>72</v>
      </c>
      <c r="C69" s="280" t="s">
        <v>3958</v>
      </c>
      <c r="D69" s="216" cm="1">
        <f t="array" ref="D69">SUMPRODUCT(
--((ISNUMBER(SEARCH("G,",'Inventory - Public Private FMS'!$H$165:$H$1792)))+
(ISNUMBER(SEARCH("G",'Inventory - Public Private FMS'!$H$165:$H$1792)))&gt;0))</f>
        <v>519</v>
      </c>
      <c r="E69" s="218" cm="1">
        <f t="array" ref="E69">SUMPRODUCT(
    --((ISNUMBER(SEARCH("G,", 'Inventory - Public Private FMS'!$H$165:$H$1792))) +
      (ISNUMBER(SEARCH("G", 'Inventory - Public Private FMS'!$H$165:$H$1792))) &gt; 0),
    --(
        (ISNUMBER(SEARCH("Fruits", 'Inventory - Public Private FMS'!$F$165:$F$1792))) +
        (ISNUMBER(SEARCH("Vegetables", 'Inventory - Public Private FMS'!$F$165:$F$1792))) +
        (ISNUMBER(SEARCH("All food commodities", 'Inventory - Public Private FMS'!$F$165:$F$1792))
    ) &gt; 0
))</f>
        <v>154</v>
      </c>
      <c r="F69" s="218" cm="1">
        <f t="array" ref="F69">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54</v>
      </c>
      <c r="G69" s="218" cm="1">
        <f t="array" ref="G69">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64</v>
      </c>
      <c r="H69" s="218" cm="1">
        <f t="array" ref="H69">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221</v>
      </c>
      <c r="I69" s="218" cm="1">
        <f t="array" ref="I69">SUMPRODUCT(
    --((ISNUMBER(SEARCH("G,", 'Inventory - Public Private FMS'!$H$165:$H$1792))) +
      (ISNUMBER(SEARCH("G",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319</v>
      </c>
      <c r="J69" s="218" cm="1">
        <f t="array" ref="J69">SUMPRODUCT(
    --((ISNUMBER(SEARCH("G,", 'Inventory - Public Private FMS'!$H$165:$H$1792))) +
      (ISNUMBER(SEARCH("G", 'Inventory - Public Private FMS'!$H$165:$H$1792))) &gt; 0),
    --(
        (ISNUMBER(SEARCH("Eggs", 'Inventory - Public Private FMS'!$F$165:$F$1792))) +
        (ISNUMBER(SEARCH("All food commodities", 'Inventory - Public Private FMS'!$F$165:$F$1792))
    ) &gt; 0
))</f>
        <v>22</v>
      </c>
      <c r="K69" s="218" cm="1">
        <f t="array" ref="K69">SUMPRODUCT(
    --((ISNUMBER(SEARCH("G,", 'Inventory - Public Private FMS'!$H$165:$H$1792))) +
      (ISNUMBER(SEARCH("G", 'Inventory - Public Private FMS'!$H$165:$H$1792))) &gt; 0),
    --(
        (ISNUMBER(SEARCH("Fish", 'Inventory - Public Private FMS'!$F$165:$F$1792))) +
        (ISNUMBER(SEARCH("Aquaculture", 'Inventory - Public Private FMS'!$F$165:$F$1792))) +
        (ISNUMBER(SEARCH("All food commodities", 'Inventory - Public Private FMS'!$F$165:$F$1792))
    ) &gt; 0
))</f>
        <v>37</v>
      </c>
      <c r="L69" s="218" cm="1">
        <f t="array" ref="L69">SUMPRODUCT(
    --((ISNUMBER(SEARCH("G,", 'Inventory - Public Private FMS'!$H$165:$H$1792))) +
      (ISNUMBER(SEARCH("G", 'Inventory - Public Private FMS'!$H$165:$H$1792))) &gt; 0),
    --(
        (ISNUMBER(SEARCH("Cereals", 'Inventory - Public Private FMS'!$F$165:$F$1792))) +
        (ISNUMBER(SEARCH("All food commodities", 'Inventory - Public Private FMS'!$F$165:$F$1792))
    ) &gt; 0
))</f>
        <v>22</v>
      </c>
    </row>
    <row r="70" spans="2:12">
      <c r="C70" t="s">
        <v>263</v>
      </c>
      <c r="D70" s="216" t="e" cm="1">
        <f t="array" ref="D70">SUMPRODUCT(
    --((ISNUMBER(SEARCH("G,", 'Inventory - Public Private FMS'!$H$165:$H$1792)) +
        ISNUMBER(SEARCH("G", 'Inventory - Public Private FMS'!$H$165:$H$1792))) &gt; 0),
    --(ISNUMBER(SEARCH("EU", 'Inventory - Public Private FMS'!#REF!)))
)</f>
        <v>#VALUE!</v>
      </c>
      <c r="E70" s="218" t="e" cm="1">
        <f t="array" ref="E70">SUMPRODUCT(
    --((ISNUMBER(SEARCH("G,", 'Inventory - Public Private FMS'!$H$165:$H$1792))) +
      (ISNUMBER(SEARCH("G",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70" s="218" t="e" cm="1">
        <f t="array" ref="F70">SUMPRODUCT(
    --((ISNUMBER(SEARCH("G,", 'Inventory - Public Private FMS'!$H$165:$H$1792))) +
      (ISNUMBER(SEARCH("G",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70" s="218" t="e" cm="1">
        <f t="array" ref="G70">SUMPRODUCT(
    --((ISNUMBER(SEARCH("G,", 'Inventory - Public Private FMS'!$H$165:$H$1792))) +
      (ISNUMBER(SEARCH("G",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0" s="218" t="e" cm="1">
        <f t="array" ref="H70">SUMPRODUCT(
    --((ISNUMBER(SEARCH("G,", 'Inventory - Public Private FMS'!$H$165:$H$1792))) +
      (ISNUMBER(SEARCH("G",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70" s="218" t="e" cm="1">
        <f t="array" ref="I70">SUMPRODUCT(
    --((ISNUMBER(SEARCH("G,", 'Inventory - Public Private FMS'!$H$165:$H$1792))) +
      (ISNUMBER(SEARCH("G",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70" s="218" t="e" cm="1">
        <f t="array" ref="J70">SUMPRODUCT(
    --((ISNUMBER(SEARCH("G,", 'Inventory - Public Private FMS'!$H$165:$H$1792))) +
      (ISNUMBER(SEARCH("G", 'Inventory - Public Private FMS'!$H$165:$H$1792))) &gt; 0),
    --(ISNUMBER(SEARCH("EU", 'Inventory - Public Private FMS'!#REF!))),
    --(
        (ISNUMBER(SEARCH("Eggs", 'Inventory - Public Private FMS'!$F$165:$F$1792))) +
        (ISNUMBER(SEARCH("All food commodities", 'Inventory - Public Private FMS'!$F$165:$F$1792))
    ) &gt; 0))</f>
        <v>#VALUE!</v>
      </c>
      <c r="K70" s="218" t="e" cm="1">
        <f t="array" ref="K70">SUMPRODUCT(
    --((ISNUMBER(SEARCH("G,", 'Inventory - Public Private FMS'!$H$165:$H$1792))) +
      (ISNUMBER(SEARCH("G",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70" s="218" t="e" cm="1">
        <f t="array" ref="L70">SUMPRODUCT(
    --((ISNUMBER(SEARCH("G,", 'Inventory - Public Private FMS'!$H$165:$H$1792))) +
      (ISNUMBER(SEARCH("G", 'Inventory - Public Private FMS'!$H$165:$H$1792))) &gt; 0),
    --(ISNUMBER(SEARCH("EU", 'Inventory - Public Private FMS'!#REF!))),
    --(
        (ISNUMBER(SEARCH("Cereals", 'Inventory - Public Private FMS'!$F$165:$F$1792))) +
        (ISNUMBER(SEARCH("All food commodities", 'Inventory - Public Private FMS'!$F$165:$F$1792))
    ) &gt; 0
))</f>
        <v>#VALUE!</v>
      </c>
    </row>
    <row r="71" spans="2:12">
      <c r="C71" t="s">
        <v>3928</v>
      </c>
      <c r="D71" s="216" t="e" cm="1">
        <f t="array" ref="D71">SUMPRODUCT(
    --((ISNUMBER(SEARCH("G,", 'Inventory - Public Private FMS'!$H$165:$H$1792)) +
        ISNUMBER(SEARCH("G", 'Inventory - Public Private FMS'!$H$165:$H$1792))) &gt; 0),
    --(ISNUMBER(SEARCH("OECD", 'Inventory - Public Private FMS'!#REF!)))
)</f>
        <v>#VALUE!</v>
      </c>
      <c r="E71" s="218" t="e" cm="1">
        <f t="array" ref="E71">SUMPRODUCT(
    --((ISNUMBER(SEARCH("G,", 'Inventory - Public Private FMS'!$H$165:$H$1792))) +
      (ISNUMBER(SEARCH("G",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71" s="218" t="e" cm="1">
        <f t="array" ref="F71">SUMPRODUCT(
    --((ISNUMBER(SEARCH("G,", 'Inventory - Public Private FMS'!$H$165:$H$1792))) +
      (ISNUMBER(SEARCH("G",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71" s="218" t="e" cm="1">
        <f t="array" ref="G71">SUMPRODUCT(
    --((ISNUMBER(SEARCH("G,", 'Inventory - Public Private FMS'!$H$165:$H$1792))) +
      (ISNUMBER(SEARCH("G",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1" s="218" t="e" cm="1">
        <f t="array" ref="H71">SUMPRODUCT(
    --((ISNUMBER(SEARCH("G,", 'Inventory - Public Private FMS'!$H$165:$H$1792))) +
      (ISNUMBER(SEARCH("G",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71" s="218" t="e" cm="1">
        <f t="array" ref="I71">SUMPRODUCT(
    --((ISNUMBER(SEARCH("G,", 'Inventory - Public Private FMS'!$H$165:$H$1792))) +
      (ISNUMBER(SEARCH("G",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71" s="218" t="e" cm="1">
        <f t="array" ref="J71">SUMPRODUCT(
    --((ISNUMBER(SEARCH("G,", 'Inventory - Public Private FMS'!$H$165:$H$1792))) +
      (ISNUMBER(SEARCH("G", 'Inventory - Public Private FMS'!$H$165:$H$1792))) &gt; 0),
    --(ISNUMBER(SEARCH("OECD", 'Inventory - Public Private FMS'!#REF!))),
    --(
        (ISNUMBER(SEARCH("Eggs", 'Inventory - Public Private FMS'!$F$165:$F$1792))) +
        (ISNUMBER(SEARCH("All food commodities", 'Inventory - Public Private FMS'!$F$165:$F$1792))
    ) &gt; 0
))</f>
        <v>#VALUE!</v>
      </c>
      <c r="K71" s="218" t="e" cm="1">
        <f t="array" ref="K71">SUMPRODUCT(
    --((ISNUMBER(SEARCH("G,", 'Inventory - Public Private FMS'!$H$165:$H$1792))) +
      (ISNUMBER(SEARCH("G",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71" s="218" t="e" cm="1">
        <f t="array" ref="L71">SUMPRODUCT(
    --((ISNUMBER(SEARCH("G,", 'Inventory - Public Private FMS'!$H$165:$H$1792))) +
      (ISNUMBER(SEARCH("G", 'Inventory - Public Private FMS'!$H$165:$H$1792))) &gt; 0),
    --(ISNUMBER(SEARCH("OECD", 'Inventory - Public Private FMS'!#REF!))),
    --(
        (ISNUMBER(SEARCH("Cereals", 'Inventory - Public Private FMS'!$F$165:$F$1792))) +
        (ISNUMBER(SEARCH("All food commodities", 'Inventory - Public Private FMS'!$F$165:$F$1792))
    ) &gt; 0
))</f>
        <v>#VALUE!</v>
      </c>
    </row>
    <row r="72" spans="2:12">
      <c r="C72" t="s">
        <v>3926</v>
      </c>
      <c r="D72" s="216" t="e" cm="1">
        <f t="array" ref="D72">SUMPRODUCT(
    --((ISNUMBER(SEARCH("G,", 'Inventory - Public Private FMS'!$H$165:$H$1792)) +
        ISNUMBER(SEARCH("G", 'Inventory - Public Private FMS'!$H$165:$H$1792))) &gt; 0),
    --(ISNUMBER(SEARCH("UNECE", 'Inventory - Public Private FMS'!#REF!)))
)</f>
        <v>#VALUE!</v>
      </c>
      <c r="E72" s="218" t="e" cm="1">
        <f t="array" ref="E72">SUMPRODUCT(
    --((ISNUMBER(SEARCH("G,", 'Inventory - Public Private FMS'!$H$165:$H$1792))) +
      (ISNUMBER(SEARCH("G",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72" s="218" t="e" cm="1">
        <f t="array" ref="F72">SUMPRODUCT(
    --((ISNUMBER(SEARCH("G,", 'Inventory - Public Private FMS'!$H$165:$H$1792))) +
      (ISNUMBER(SEARCH("G",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72" s="218" t="e" cm="1">
        <f t="array" ref="G72">SUMPRODUCT(
    --((ISNUMBER(SEARCH("G,", 'Inventory - Public Private FMS'!$H$165:$H$1792))) +
      (ISNUMBER(SEARCH("G",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2" s="218" t="e" cm="1">
        <f t="array" ref="H72">SUMPRODUCT(
    --((ISNUMBER(SEARCH("G,", 'Inventory - Public Private FMS'!$H$165:$H$1792))) +
      (ISNUMBER(SEARCH("G",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72" s="218" t="e" cm="1">
        <f t="array" ref="I72">SUMPRODUCT(
    --((ISNUMBER(SEARCH("G,", 'Inventory - Public Private FMS'!$H$165:$H$1792))) +
      (ISNUMBER(SEARCH("G",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72" s="218" t="e" cm="1">
        <f t="array" ref="J72">SUMPRODUCT(
    --((ISNUMBER(SEARCH("G,", 'Inventory - Public Private FMS'!$H$165:$H$1792))) +
      (ISNUMBER(SEARCH("G", 'Inventory - Public Private FMS'!$H$165:$H$1792))) &gt; 0),
    --(ISNUMBER(SEARCH("UNECE", 'Inventory - Public Private FMS'!#REF!))),
     --(
        (ISNUMBER(SEARCH("Eggs", 'Inventory - Public Private FMS'!$F$165:$F$1792))) +
        (ISNUMBER(SEARCH("All food commodities", 'Inventory - Public Private FMS'!$F$165:$F$1792))
    ) &gt; 0
))</f>
        <v>#VALUE!</v>
      </c>
      <c r="K72" s="218" t="e" cm="1">
        <f t="array" ref="K72">SUMPRODUCT(
    --((ISNUMBER(SEARCH("G,", 'Inventory - Public Private FMS'!$H$165:$H$1792))) +
      (ISNUMBER(SEARCH("G",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72" s="218" t="e" cm="1">
        <f t="array" ref="L72">SUMPRODUCT(
    --((ISNUMBER(SEARCH("G,", 'Inventory - Public Private FMS'!$H$165:$H$1792))) +
      (ISNUMBER(SEARCH("G", 'Inventory - Public Private FMS'!$H$165:$H$1792))) &gt; 0),
    --(ISNUMBER(SEARCH("UNECE", 'Inventory - Public Private FMS'!#REF!))),
    --(
        (ISNUMBER(SEARCH("Cereals", 'Inventory - Public Private FMS'!$F$165:$F$1792))) +
        (ISNUMBER(SEARCH("All food commodities", 'Inventory - Public Private FMS'!$F$165:$F$1792))
    ) &gt; 0
))</f>
        <v>#VALUE!</v>
      </c>
    </row>
    <row r="73" spans="2:12">
      <c r="C73" t="s">
        <v>3930</v>
      </c>
      <c r="D73" s="216" t="e" cm="1">
        <f t="array" ref="D73">SUMPRODUCT(
    --((ISNUMBER(SEARCH("G,", 'Inventory - Public Private FMS'!$H$165:$H$1792)) +
        ISNUMBER(SEARCH("G", 'Inventory - Public Private FMS'!$H$165:$H$1792))) &gt; 0),
    --(ISNUMBER(SEARCH("Codex Alimentarius", 'Inventory - Public Private FMS'!#REF!)))
)</f>
        <v>#VALUE!</v>
      </c>
      <c r="E73" s="218" t="e" cm="1">
        <f t="array" ref="E73">SUMPRODUCT(
    --((ISNUMBER(SEARCH("G,", 'Inventory - Public Private FMS'!$H$165:$H$1792))) +
      (ISNUMBER(SEARCH("G",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73" s="218" t="e" cm="1">
        <f t="array" ref="F73">SUMPRODUCT(
    --((ISNUMBER(SEARCH("G,", 'Inventory - Public Private FMS'!$H$165:$H$1792))) +
      (ISNUMBER(SEARCH("G",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73" s="218" t="e" cm="1">
        <f t="array" ref="G73">SUMPRODUCT(
    --((ISNUMBER(SEARCH("G,", 'Inventory - Public Private FMS'!$H$165:$H$1792))) +
      (ISNUMBER(SEARCH("G",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3" s="218" t="e" cm="1">
        <f t="array" ref="H73">SUMPRODUCT(
    --((ISNUMBER(SEARCH("G,", 'Inventory - Public Private FMS'!$H$165:$H$1792))) +
      (ISNUMBER(SEARCH("G",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73" s="218" t="e" cm="1">
        <f t="array" ref="I73">SUMPRODUCT(
    --((ISNUMBER(SEARCH("G,", 'Inventory - Public Private FMS'!$H$165:$H$1792))) +
      (ISNUMBER(SEARCH("G",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73" s="218" t="e" cm="1">
        <f t="array" ref="J73">SUMPRODUCT(
    --((ISNUMBER(SEARCH("G,", 'Inventory - Public Private FMS'!$H$165:$H$1792))) +
      (ISNUMBER(SEARCH("G", 'Inventory - Public Private FMS'!$H$165:$H$1792))) &gt; 0),
    --(ISNUMBER(SEARCH("Codex Alimentarius", 'Inventory - Public Private FMS'!#REF!))),
    --(
        (ISNUMBER(SEARCH("Eggs", 'Inventory - Public Private FMS'!$F$165:$F$1792))) +
        (ISNUMBER(SEARCH("All food commodities", 'Inventory - Public Private FMS'!$F$165:$F$1792))
    ) &gt; 0
))</f>
        <v>#VALUE!</v>
      </c>
      <c r="K73" s="218" t="e" cm="1">
        <f t="array" ref="K73">SUMPRODUCT(
    --((ISNUMBER(SEARCH("G,", 'Inventory - Public Private FMS'!$H$165:$H$1792))) +
      (ISNUMBER(SEARCH("G",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73" s="218" t="e" cm="1">
        <f t="array" ref="L73">SUMPRODUCT(
    --((ISNUMBER(SEARCH("G,", 'Inventory - Public Private FMS'!$H$165:$H$1792))) +
      (ISNUMBER(SEARCH("G", 'Inventory - Public Private FMS'!$H$165:$H$1792))) &gt; 0),
    --(ISNUMBER(SEARCH("Codex Alimentarius", 'Inventory - Public Private FMS'!#REF!))),
    --(
        (ISNUMBER(SEARCH("Cereals", 'Inventory - Public Private FMS'!$F$165:$F$1792))) +
        (ISNUMBER(SEARCH("All food commodities", 'Inventory - Public Private FMS'!$F$165:$F$1792))
    ) &gt; 0
))</f>
        <v>#VALUE!</v>
      </c>
    </row>
    <row r="74" spans="2:12">
      <c r="C74" t="s">
        <v>2405</v>
      </c>
      <c r="D74" s="216" cm="1">
        <f t="array" ref="D74">SUMPRODUCT(
    --((ISNUMBER(SEARCH("G,", 'Inventory - Public Private FMS'!$H$165:$H$1792)) +
        ISNUMBER(SEARCH("G", 'Inventory - Public Private FMS'!$H$165:$H$1792))) &gt; 0),
    --(ISNUMBER(SEARCH("Label Rouge", 'Inventory - Public Private FMS'!$P$165:$P$1792)))
)</f>
        <v>328</v>
      </c>
      <c r="E74" s="218" cm="1">
        <f t="array" ref="E74">SUMPRODUCT(
    --((ISNUMBER(SEARCH("G,", 'Inventory - Public Private FMS'!$H$165:$H$1792))) +
      (ISNUMBER(SEARCH("G",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74" s="218" cm="1">
        <f t="array" ref="F74">SUMPRODUCT(
    --((ISNUMBER(SEARCH("G,", 'Inventory - Public Private FMS'!$H$165:$H$1792))) +
      (ISNUMBER(SEARCH("G",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74" s="218" cm="1">
        <f t="array" ref="G74">SUMPRODUCT(
    --((ISNUMBER(SEARCH("G,", 'Inventory - Public Private FMS'!$H$165:$H$1792))) +
      (ISNUMBER(SEARCH("G",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74" s="218" cm="1">
        <f t="array" ref="H74">SUMPRODUCT(
    --((ISNUMBER(SEARCH("G,", 'Inventory - Public Private FMS'!$H$165:$H$1792))) +
      (ISNUMBER(SEARCH("G",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74" s="218" cm="1">
        <f t="array" ref="I74">SUMPRODUCT(
    --((ISNUMBER(SEARCH("G,", 'Inventory - Public Private FMS'!$H$165:$H$1792))) +
      (ISNUMBER(SEARCH("G",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74" s="218" cm="1">
        <f t="array" ref="J74">SUMPRODUCT(
    --((ISNUMBER(SEARCH("G,", 'Inventory - Public Private FMS'!$H$165:$H$1792))) +
      (ISNUMBER(SEARCH("G", 'Inventory - Public Private FMS'!$H$165:$H$1792))) &gt; 0),
    --(ISNUMBER(SEARCH("Label Rouge", 'Inventory - Public Private FMS'!$P$165:$P$1792))),
    --(
        (ISNUMBER(SEARCH("Eggs", 'Inventory - Public Private FMS'!$F$165:$F$1792))) +
        (ISNUMBER(SEARCH("All food commodities", 'Inventory - Public Private FMS'!$F$165:$F$1792))
    ) &gt; 0
))</f>
        <v>14</v>
      </c>
      <c r="K74" s="218" cm="1">
        <f t="array" ref="K74">SUMPRODUCT(
    --((ISNUMBER(SEARCH("G,", 'Inventory - Public Private FMS'!$H$165:$H$1792))) +
      (ISNUMBER(SEARCH("G",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19</v>
      </c>
      <c r="L74" s="218" cm="1">
        <f t="array" ref="L74">SUMPRODUCT(
    --((ISNUMBER(SEARCH("G,", 'Inventory - Public Private FMS'!$H$165:$H$1792))) +
      (ISNUMBER(SEARCH("G", 'Inventory - Public Private FMS'!$H$165:$H$1792))) &gt; 0),
    --(ISNUMBER(SEARCH("Label Rouge", 'Inventory - Public Private FMS'!$P$165:$P$1792))),
    --(
        (ISNUMBER(SEARCH("Cereals", 'Inventory - Public Private FMS'!$F$165:$F$1792))) +
        (ISNUMBER(SEARCH("All food commodities", 'Inventory - Public Private FMS'!$F$165:$F$1792))
    ) &gt; 0
))</f>
        <v>7</v>
      </c>
    </row>
    <row r="75" spans="2:12">
      <c r="C75" t="s">
        <v>3964</v>
      </c>
      <c r="D75" s="216" t="e" cm="1">
        <f t="array" ref="D75">SUMPRODUCT(
    --((ISNUMBER(SEARCH("G,", 'Inventory - Public Private FMS'!$H$165:$H$1792)) +
        ISNUMBER(SEARCH("G",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75" s="283" t="e" cm="1">
        <f t="array" ref="E75">SUMPRODUCT(
    --((ISNUMBER(SEARCH("G,", 'Inventory - Public Private FMS'!$H$165:$H$1792)) +
        ISNUMBER(SEARCH("G",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75" s="283" t="e" cm="1">
        <f t="array" ref="F75">SUMPRODUCT(
--((ISNUMBER(SEARCH("G,",'Inventory - Public Private FMS'!$H$165:$H$1792))+
ISNUMBER(SEARCH("G",'Inventory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75" s="283" t="e" cm="1">
        <f t="array" ref="G75">SUMPRODUCT(
--((ISNUMBER(SEARCH("G,",'Inventory - Public Private FMS'!$H$165:$H$1792))+
ISNUMBER(SEARCH("G",'Inventory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5" s="283" t="e" cm="1">
        <f t="array" ref="H75">SUMPRODUCT(
--((ISNUMBER(SEARCH("G,",'Inventory - Public Private FMS'!$H$165:$H$1792))+
ISNUMBER(SEARCH("G",'Inventory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75" s="283" t="e" cm="1">
        <f t="array" ref="I75">SUMPRODUCT(
--((ISNUMBER(SEARCH("G,",'Inventory - Public Private FMS'!$H$165:$H$1792))+
ISNUMBER(SEARCH("G",'Inventory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75" s="283" t="e" cm="1">
        <f t="array" ref="J75">SUMPRODUCT(
    --((ISNUMBER(SEARCH("G,", 'Inventory - Public Private FMS'!$H$165:$H$1792)) +
        ISNUMBER(SEARCH("G",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75" s="283" t="e" cm="1">
        <f t="array" ref="K75">SUMPRODUCT(
    --((ISNUMBER(SEARCH("G,", 'Inventory - Public Private FMS'!$H$165:$H$1792)) +
        ISNUMBER(SEARCH("G",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75" s="283" t="e" cm="1">
        <f t="array" ref="L75">SUMPRODUCT(
    --((ISNUMBER(SEARCH("G,", 'Inventory - Public Private FMS'!$H$165:$H$1792)) +
        ISNUMBER(SEARCH("G",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76" spans="2:12">
      <c r="C76" t="s">
        <v>3965</v>
      </c>
      <c r="D76" s="216" cm="1">
        <f t="array" ref="D76">SUMPRODUCT(
    --((ISNUMBER(SEARCH("G,", 'Inventory - Public Private FMS'!$H$165:$H$1792)) +
        ISNUMBER(SEARCH("G", 'Inventory - Public Private FMS'!$H$165:$H$1792))) &gt; 0),
    --(ISNUMBER(SEARCH("Private", 'Inventory - Public Private FMS'!$L$165:$L$1792)))
)</f>
        <v>0</v>
      </c>
      <c r="E76" s="218" cm="1">
        <f t="array" ref="E76">SUMPRODUCT(
    --((ISNUMBER(SEARCH("G,", 'Inventory - Public Private FMS'!$H$165:$H$1792))) +
      (ISNUMBER(SEARCH("G",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76" s="218" cm="1">
        <f t="array" ref="F76">SUMPRODUCT(
    --((ISNUMBER(SEARCH("G,", 'Inventory - Public Private FMS'!$H$165:$H$1792))) +
      (ISNUMBER(SEARCH("G",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76" s="218" cm="1">
        <f t="array" ref="G76">SUMPRODUCT(
    --((ISNUMBER(SEARCH("G,", 'Inventory - Public Private FMS'!$H$165:$H$1792))) +
      (ISNUMBER(SEARCH("G",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76" s="218" cm="1">
        <f t="array" ref="H76">SUMPRODUCT(
    --((ISNUMBER(SEARCH("G,", 'Inventory - Public Private FMS'!$H$165:$H$1792))) +
      (ISNUMBER(SEARCH("G",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76" s="218" cm="1">
        <f t="array" ref="I76">SUMPRODUCT(
    --((ISNUMBER(SEARCH("G,", 'Inventory - Public Private FMS'!$H$165:$H$1792))) +
      (ISNUMBER(SEARCH("G",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76" s="218" cm="1">
        <f t="array" ref="J76">SUMPRODUCT(
    --((ISNUMBER(SEARCH("G,", 'Inventory - Public Private FMS'!$H$165:$H$1792))) +
      (ISNUMBER(SEARCH("G", 'Inventory - Public Private FMS'!$H$165:$H$1792))) &gt; 0),
    --(ISNUMBER(SEARCH("Private", 'Inventory - Public Private FMS'!$L$165:$L$1792))),
    --(
        (ISNUMBER(SEARCH("Eggs", 'Inventory - Public Private FMS'!$F$165:$F$1792))) +
        (ISNUMBER(SEARCH("All food commodities", 'Inventory - Public Private FMS'!$F$165:$F$1792))
    ) &gt; 0
))</f>
        <v>0</v>
      </c>
      <c r="K76" s="218" cm="1">
        <f t="array" ref="K76">SUMPRODUCT(
    --((ISNUMBER(SEARCH("G,", 'Inventory - Public Private FMS'!$H$165:$H$1792))) +
      (ISNUMBER(SEARCH("G",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76" s="218" cm="1">
        <f t="array" ref="L76">SUMPRODUCT(
    --((ISNUMBER(SEARCH("G,", 'Inventory - Public Private FMS'!$H$165:$H$1792))) +
      (ISNUMBER(SEARCH("G", 'Inventory - Public Private FMS'!$H$165:$H$1792))) &gt; 0),
    --(ISNUMBER(SEARCH("Private", 'Inventory - Public Private FMS'!$L$165:$L$1792))),
    --(
        (ISNUMBER(SEARCH("Cereals", 'Inventory - Public Private FMS'!$F$165:$F$1792))) +
        (ISNUMBER(SEARCH("All food commodities", 'Inventory - Public Private FMS'!$F$165:$F$1792))
    ) &gt; 0
))</f>
        <v>0</v>
      </c>
    </row>
    <row r="77" spans="2:12">
      <c r="B77" s="280" t="s">
        <v>2125</v>
      </c>
      <c r="C77" s="280" t="s">
        <v>3959</v>
      </c>
      <c r="D77" s="216" cm="1">
        <f t="array" ref="D77">SUMPRODUCT(
--((ISNUMBER(SEARCH("I,",'Inventory - Public Private FMS'!$H$165:$H$1792)))+
(ISNUMBER(SEARCH("I",'Inventory - Public Private FMS'!$H$165:$H$1792)))&gt;0))</f>
        <v>6</v>
      </c>
      <c r="E77" s="218" cm="1">
        <f t="array" ref="E77">SUMPRODUCT(
    --((ISNUMBER(SEARCH("I,", 'Inventory - Public Private FMS'!$H$165:$H$1792))) +
      (ISNUMBER(SEARCH("I", 'Inventory - Public Private FMS'!$H$165:$H$1792))) &gt; 0),
    --(
        (ISNUMBER(SEARCH("Fruits", 'Inventory - Public Private FMS'!$F$165:$F$1792))) +
        (ISNUMBER(SEARCH("Vegetables", 'Inventory - Public Private FMS'!$F$165:$F$1792))) +
        (ISNUMBER(SEARCH("All food commodities", 'Inventory - Public Private FMS'!$F$165:$F$1792))
    ) &gt; 0
))</f>
        <v>3</v>
      </c>
      <c r="F77" s="218" cm="1">
        <f t="array" ref="F77">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5</v>
      </c>
      <c r="G77" s="218" cm="1">
        <f t="array" ref="G77">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5</v>
      </c>
      <c r="H77" s="218" cm="1">
        <f t="array" ref="H77">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5</v>
      </c>
      <c r="I77" s="218" cm="1">
        <f t="array" ref="I77">SUMPRODUCT(
    --((ISNUMBER(SEARCH("I,", 'Inventory - Public Private FMS'!$H$165:$H$1792))) +
      (ISNUMBER(SEARCH("I",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5</v>
      </c>
      <c r="J77" s="218" cm="1">
        <f t="array" ref="J77">SUMPRODUCT(
    --((ISNUMBER(SEARCH("I,", 'Inventory - Public Private FMS'!$H$165:$H$1792))) +
      (ISNUMBER(SEARCH("I", 'Inventory - Public Private FMS'!$H$165:$H$1792))) &gt; 0),
    --(
        (ISNUMBER(SEARCH("Eggs", 'Inventory - Public Private FMS'!$F$165:$F$1792))) +
        (ISNUMBER(SEARCH("All food commodities", 'Inventory - Public Private FMS'!$F$165:$F$1792))
    ) &gt; 0
))</f>
        <v>4</v>
      </c>
      <c r="K77" s="218" cm="1">
        <f t="array" ref="K77">SUMPRODUCT(
    --((ISNUMBER(SEARCH("I,", 'Inventory - Public Private FMS'!$H$165:$H$1792))) +
      (ISNUMBER(SEARCH("I", 'Inventory - Public Private FMS'!$H$165:$H$1792))) &gt; 0),
    --(
        (ISNUMBER(SEARCH("Fish", 'Inventory - Public Private FMS'!$F$165:$F$1792))) +
        (ISNUMBER(SEARCH("Aquaculture", 'Inventory - Public Private FMS'!$F$165:$F$1792))) +
        (ISNUMBER(SEARCH("All food commodities", 'Inventory - Public Private FMS'!$F$165:$F$1792))
    ) &gt; 0
))</f>
        <v>3</v>
      </c>
      <c r="L77" s="218" cm="1">
        <f t="array" ref="L77">SUMPRODUCT(
    --((ISNUMBER(SEARCH("I,", 'Inventory - Public Private FMS'!$H$165:$H$1792))) +
      (ISNUMBER(SEARCH("I", 'Inventory - Public Private FMS'!$H$165:$H$1792))) &gt; 0),
    --(
        (ISNUMBER(SEARCH("Cereals", 'Inventory - Public Private FMS'!$F$165:$F$1792))) +
        (ISNUMBER(SEARCH("All food commodities", 'Inventory - Public Private FMS'!$F$165:$F$1792))
    ) &gt; 0
))</f>
        <v>3</v>
      </c>
    </row>
    <row r="78" spans="2:12">
      <c r="C78" t="s">
        <v>263</v>
      </c>
      <c r="D78" s="216" t="e" cm="1">
        <f t="array" ref="D78">SUMPRODUCT(
    --((ISNUMBER(SEARCH("I,", 'Inventory - Public Private FMS'!$H$165:$H$1792)) +
        ISNUMBER(SEARCH("I", 'Inventory - Public Private FMS'!$H$165:$H$1792))) &gt; 0),
    --(ISNUMBER(SEARCH("EU", 'Inventory - Public Private FMS'!#REF!)))
)</f>
        <v>#VALUE!</v>
      </c>
      <c r="E78" s="218" t="e" cm="1">
        <f t="array" ref="E78">SUMPRODUCT(
    --((ISNUMBER(SEARCH("I,", 'Inventory - Public Private FMS'!$H$165:$H$1792))) +
      (ISNUMBER(SEARCH("I",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78" s="218" t="e" cm="1">
        <f t="array" ref="F78">SUMPRODUCT(
    --((ISNUMBER(SEARCH("I,", 'Inventory - Public Private FMS'!$H$165:$H$1792))) +
      (ISNUMBER(SEARCH("I",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78" s="218" t="e" cm="1">
        <f t="array" ref="G78">SUMPRODUCT(
    --((ISNUMBER(SEARCH("I,", 'Inventory - Public Private FMS'!$H$165:$H$1792))) +
      (ISNUMBER(SEARCH("I",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8" s="218" t="e" cm="1">
        <f t="array" ref="H78">SUMPRODUCT(
    --((ISNUMBER(SEARCH("I,", 'Inventory - Public Private FMS'!$H$165:$H$1792))) +
      (ISNUMBER(SEARCH("I",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78" s="218" t="e" cm="1">
        <f t="array" ref="I78">SUMPRODUCT(
    --((ISNUMBER(SEARCH("I,", 'Inventory - Public Private FMS'!$H$165:$H$1792))) +
      (ISNUMBER(SEARCH("I",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78" s="218" t="e" cm="1">
        <f t="array" ref="J78">SUMPRODUCT(
    --((ISNUMBER(SEARCH("I,", 'Inventory - Public Private FMS'!$H$165:$H$1792))) +
      (ISNUMBER(SEARCH("I", 'Inventory - Public Private FMS'!$H$165:$H$1792))) &gt; 0),
    --(ISNUMBER(SEARCH("EU", 'Inventory - Public Private FMS'!#REF!))),
    --(
        (ISNUMBER(SEARCH("Eggs", 'Inventory - Public Private FMS'!$F$165:$F$1792))) +
        (ISNUMBER(SEARCH("All food commodities", 'Inventory - Public Private FMS'!$F$165:$F$1792))
    ) &gt; 0))</f>
        <v>#VALUE!</v>
      </c>
      <c r="K78" s="218" t="e" cm="1">
        <f t="array" ref="K78">SUMPRODUCT(
    --((ISNUMBER(SEARCH("I,", 'Inventory - Public Private FMS'!$H$165:$H$1792))) +
      (ISNUMBER(SEARCH("I",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78" s="218" t="e" cm="1">
        <f t="array" ref="L78">SUMPRODUCT(
    --((ISNUMBER(SEARCH("I,", 'Inventory - Public Private FMS'!$H$165:$H$1792))) +
      (ISNUMBER(SEARCH("I", 'Inventory - Public Private FMS'!$H$165:$H$1792))) &gt; 0),
    --(ISNUMBER(SEARCH("EU", 'Inventory - Public Private FMS'!#REF!))),
    --(
        (ISNUMBER(SEARCH("Cereals", 'Inventory - Public Private FMS'!$F$165:$F$1792))) +
        (ISNUMBER(SEARCH("All food commodities", 'Inventory - Public Private FMS'!$F$165:$F$1792))
    ) &gt; 0
))</f>
        <v>#VALUE!</v>
      </c>
    </row>
    <row r="79" spans="2:12">
      <c r="C79" t="s">
        <v>3928</v>
      </c>
      <c r="D79" s="216" t="e" cm="1">
        <f t="array" ref="D79">SUMPRODUCT(
    --((ISNUMBER(SEARCH("I,", 'Inventory - Public Private FMS'!$H$165:$H$1792)) +
        ISNUMBER(SEARCH("I", 'Inventory - Public Private FMS'!$H$165:$H$1792))) &gt; 0),
    --(ISNUMBER(SEARCH("OECD", 'Inventory - Public Private FMS'!#REF!)))
)</f>
        <v>#VALUE!</v>
      </c>
      <c r="E79" s="218" t="e" cm="1">
        <f t="array" ref="E79">SUMPRODUCT(
    --((ISNUMBER(SEARCH("I,", 'Inventory - Public Private FMS'!$H$165:$H$1792))) +
      (ISNUMBER(SEARCH("I",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79" s="218" t="e" cm="1">
        <f t="array" ref="F79">SUMPRODUCT(
    --((ISNUMBER(SEARCH("I,", 'Inventory - Public Private FMS'!$H$165:$H$1792))) +
      (ISNUMBER(SEARCH("I",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79" s="218" t="e" cm="1">
        <f t="array" ref="G79">SUMPRODUCT(
    --((ISNUMBER(SEARCH("I,", 'Inventory - Public Private FMS'!$H$165:$H$1792))) +
      (ISNUMBER(SEARCH("I",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79" s="218" t="e" cm="1">
        <f t="array" ref="H79">SUMPRODUCT(
    --((ISNUMBER(SEARCH("I,", 'Inventory - Public Private FMS'!$H$165:$H$1792))) +
      (ISNUMBER(SEARCH("I",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79" s="218" t="e" cm="1">
        <f t="array" ref="I79">SUMPRODUCT(
    --((ISNUMBER(SEARCH("I,", 'Inventory - Public Private FMS'!$H$165:$H$1792))) +
      (ISNUMBER(SEARCH("I",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79" s="218" t="e" cm="1">
        <f t="array" ref="J79">SUMPRODUCT(
    --((ISNUMBER(SEARCH("I,", 'Inventory - Public Private FMS'!$H$165:$H$1792))) +
      (ISNUMBER(SEARCH("I", 'Inventory - Public Private FMS'!$H$165:$H$1792))) &gt; 0),
    --(ISNUMBER(SEARCH("OECD", 'Inventory - Public Private FMS'!#REF!))),
    --(
        (ISNUMBER(SEARCH("Eggs", 'Inventory - Public Private FMS'!$F$165:$F$1792))) +
        (ISNUMBER(SEARCH("All food commodities", 'Inventory - Public Private FMS'!$F$165:$F$1792))
    ) &gt; 0
))</f>
        <v>#VALUE!</v>
      </c>
      <c r="K79" s="218" t="e" cm="1">
        <f t="array" ref="K79">SUMPRODUCT(
    --((ISNUMBER(SEARCH("I,", 'Inventory - Public Private FMS'!$H$165:$H$1792))) +
      (ISNUMBER(SEARCH("I",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79" s="218" t="e" cm="1">
        <f t="array" ref="L79">SUMPRODUCT(
    --((ISNUMBER(SEARCH("I,", 'Inventory - Public Private FMS'!$H$165:$H$1792))) +
      (ISNUMBER(SEARCH("I", 'Inventory - Public Private FMS'!$H$165:$H$1792))) &gt; 0),
    --(ISNUMBER(SEARCH("OECD", 'Inventory - Public Private FMS'!#REF!))),
    --(
        (ISNUMBER(SEARCH("Cereals", 'Inventory - Public Private FMS'!$F$165:$F$1792))) +
        (ISNUMBER(SEARCH("All food commodities", 'Inventory - Public Private FMS'!$F$165:$F$1792))
    ) &gt; 0
))</f>
        <v>#VALUE!</v>
      </c>
    </row>
    <row r="80" spans="2:12">
      <c r="C80" t="s">
        <v>3926</v>
      </c>
      <c r="D80" s="216" t="e" cm="1">
        <f t="array" ref="D80">SUMPRODUCT(
    --((ISNUMBER(SEARCH("I,", 'Inventory - Public Private FMS'!$H$165:$H$1792)) +
        ISNUMBER(SEARCH("I", 'Inventory - Public Private FMS'!$H$165:$H$1792))) &gt; 0),
    --(ISNUMBER(SEARCH("UNECE", 'Inventory - Public Private FMS'!#REF!)))
)</f>
        <v>#VALUE!</v>
      </c>
      <c r="E80" s="218" t="e" cm="1">
        <f t="array" ref="E80">SUMPRODUCT(
    --((ISNUMBER(SEARCH("I,", 'Inventory - Public Private FMS'!$H$165:$H$1792))) +
      (ISNUMBER(SEARCH("I",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80" s="218" t="e" cm="1">
        <f t="array" ref="F80">SUMPRODUCT(
    --((ISNUMBER(SEARCH("I,", 'Inventory - Public Private FMS'!$H$165:$H$1792))) +
      (ISNUMBER(SEARCH("I",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80" s="218" t="e" cm="1">
        <f t="array" ref="G80">SUMPRODUCT(
    --((ISNUMBER(SEARCH("I,", 'Inventory - Public Private FMS'!$H$165:$H$1792))) +
      (ISNUMBER(SEARCH("I",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0" s="218" t="e" cm="1">
        <f t="array" ref="H80">SUMPRODUCT(
    --((ISNUMBER(SEARCH("I,", 'Inventory - Public Private FMS'!$H$165:$H$1792))) +
      (ISNUMBER(SEARCH("I",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80" s="218" t="e" cm="1">
        <f t="array" ref="I80">SUMPRODUCT(
    --((ISNUMBER(SEARCH("I,", 'Inventory - Public Private FMS'!$H$165:$H$1792))) +
      (ISNUMBER(SEARCH("I",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80" s="218" t="e" cm="1">
        <f t="array" ref="J80">SUMPRODUCT(
    --((ISNUMBER(SEARCH("I,", 'Inventory - Public Private FMS'!$H$165:$H$1792))) +
      (ISNUMBER(SEARCH("I", 'Inventory - Public Private FMS'!$H$165:$H$1792))) &gt; 0),
    --(ISNUMBER(SEARCH("UNECE", 'Inventory - Public Private FMS'!#REF!))),
     --(
        (ISNUMBER(SEARCH("Eggs", 'Inventory - Public Private FMS'!$F$165:$F$1792))) +
        (ISNUMBER(SEARCH("All food commodities", 'Inventory - Public Private FMS'!$F$165:$F$1792))
    ) &gt; 0
))</f>
        <v>#VALUE!</v>
      </c>
      <c r="K80" s="218" t="e" cm="1">
        <f t="array" ref="K80">SUMPRODUCT(
    --((ISNUMBER(SEARCH("I,", 'Inventory - Public Private FMS'!$H$165:$H$1792))) +
      (ISNUMBER(SEARCH("I",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80" s="218" t="e" cm="1">
        <f t="array" ref="L80">SUMPRODUCT(
    --((ISNUMBER(SEARCH("I,", 'Inventory - Public Private FMS'!$H$165:$H$1792))) +
      (ISNUMBER(SEARCH("I", 'Inventory - Public Private FMS'!$H$165:$H$1792))) &gt; 0),
    --(ISNUMBER(SEARCH("UNECE", 'Inventory - Public Private FMS'!#REF!))),
    --(
        (ISNUMBER(SEARCH("Cereals", 'Inventory - Public Private FMS'!$F$165:$F$1792))) +
        (ISNUMBER(SEARCH("All food commodities", 'Inventory - Public Private FMS'!$F$165:$F$1792))
    ) &gt; 0
))</f>
        <v>#VALUE!</v>
      </c>
    </row>
    <row r="81" spans="2:12">
      <c r="C81" t="s">
        <v>3930</v>
      </c>
      <c r="D81" s="216" t="e" cm="1">
        <f t="array" ref="D81">SUMPRODUCT(
    --((ISNUMBER(SEARCH("I,", 'Inventory - Public Private FMS'!$H$165:$H$1792)) +
        ISNUMBER(SEARCH("I", 'Inventory - Public Private FMS'!$H$165:$H$1792))) &gt; 0),
    --(ISNUMBER(SEARCH("Codex Alimentarius", 'Inventory - Public Private FMS'!#REF!)))
)</f>
        <v>#VALUE!</v>
      </c>
      <c r="E81" s="218" t="e" cm="1">
        <f t="array" ref="E81">SUMPRODUCT(
    --((ISNUMBER(SEARCH("I,", 'Inventory - Public Private FMS'!$H$165:$H$1792))) +
      (ISNUMBER(SEARCH("I",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81" s="218" t="e" cm="1">
        <f t="array" ref="F81">SUMPRODUCT(
    --((ISNUMBER(SEARCH("I,", 'Inventory - Public Private FMS'!$H$165:$H$1792))) +
      (ISNUMBER(SEARCH("I",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81" s="218" t="e" cm="1">
        <f t="array" ref="G81">SUMPRODUCT(
    --((ISNUMBER(SEARCH("I,", 'Inventory - Public Private FMS'!$H$165:$H$1792))) +
      (ISNUMBER(SEARCH("I",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1" s="218" t="e" cm="1">
        <f t="array" ref="H81">SUMPRODUCT(
    --((ISNUMBER(SEARCH("I,", 'Inventory - Public Private FMS'!$H$165:$H$1792))) +
      (ISNUMBER(SEARCH("I",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81" s="218" t="e" cm="1">
        <f t="array" ref="I81">SUMPRODUCT(
    --((ISNUMBER(SEARCH("I,", 'Inventory - Public Private FMS'!$H$165:$H$1792))) +
      (ISNUMBER(SEARCH("I",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81" s="218" t="e" cm="1">
        <f t="array" ref="J81">SUMPRODUCT(
    --((ISNUMBER(SEARCH("I,", 'Inventory - Public Private FMS'!$H$165:$H$1792))) +
      (ISNUMBER(SEARCH("I", 'Inventory - Public Private FMS'!$H$165:$H$1792))) &gt; 0),
    --(ISNUMBER(SEARCH("Codex Alimentarius", 'Inventory - Public Private FMS'!#REF!))),
    --(
        (ISNUMBER(SEARCH("Eggs", 'Inventory - Public Private FMS'!$F$165:$F$1792))) +
        (ISNUMBER(SEARCH("All food commodities", 'Inventory - Public Private FMS'!$F$165:$F$1792))
    ) &gt; 0
))</f>
        <v>#VALUE!</v>
      </c>
      <c r="K81" s="218" t="e" cm="1">
        <f t="array" ref="K81">SUMPRODUCT(
    --((ISNUMBER(SEARCH("I,", 'Inventory - Public Private FMS'!$H$165:$H$1792))) +
      (ISNUMBER(SEARCH("I",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81" s="218" t="e" cm="1">
        <f t="array" ref="L81">SUMPRODUCT(
    --((ISNUMBER(SEARCH("I,", 'Inventory - Public Private FMS'!$H$165:$H$1792))) +
      (ISNUMBER(SEARCH("I", 'Inventory - Public Private FMS'!$H$165:$H$1792))) &gt; 0),
    --(ISNUMBER(SEARCH("Codex Alimentarius", 'Inventory - Public Private FMS'!#REF!))),
    --(
        (ISNUMBER(SEARCH("Cereals", 'Inventory - Public Private FMS'!$F$165:$F$1792))) +
        (ISNUMBER(SEARCH("All food commodities", 'Inventory - Public Private FMS'!$F$165:$F$1792))
    ) &gt; 0
))</f>
        <v>#VALUE!</v>
      </c>
    </row>
    <row r="82" spans="2:12" hidden="1">
      <c r="C82" t="s">
        <v>2405</v>
      </c>
      <c r="D82" s="216" cm="1">
        <f t="array" ref="D82">SUMPRODUCT(
    --((ISNUMBER(SEARCH("I,", 'Inventory - Public Private FMS'!$H$165:$H$1792)) +
        ISNUMBER(SEARCH("I", 'Inventory - Public Private FMS'!$H$165:$H$1792))) &gt; 0),
    --(ISNUMBER(SEARCH("Label Rouge", 'Inventory - Public Private FMS'!$P$165:$P$1792)))
)</f>
        <v>0</v>
      </c>
      <c r="E82" s="218" cm="1">
        <f t="array" ref="E82">SUMPRODUCT(
    --((ISNUMBER(SEARCH("I,", 'Inventory - Public Private FMS'!$H$165:$H$1792))) +
      (ISNUMBER(SEARCH("I",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0</v>
      </c>
      <c r="F82" s="218" cm="1">
        <f t="array" ref="F82">SUMPRODUCT(
    --((ISNUMBER(SEARCH("I,", 'Inventory - Public Private FMS'!$H$165:$H$1792))) +
      (ISNUMBER(SEARCH("I",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0</v>
      </c>
      <c r="G82" s="218" cm="1">
        <f t="array" ref="G82">SUMPRODUCT(
    --((ISNUMBER(SEARCH("I,", 'Inventory - Public Private FMS'!$H$165:$H$1792))) +
      (ISNUMBER(SEARCH("I",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0</v>
      </c>
      <c r="H82" s="218" cm="1">
        <f t="array" ref="H82">SUMPRODUCT(
    --((ISNUMBER(SEARCH("I,", 'Inventory - Public Private FMS'!$H$165:$H$1792))) +
      (ISNUMBER(SEARCH("I",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0</v>
      </c>
      <c r="I82" s="218" cm="1">
        <f t="array" ref="I82">SUMPRODUCT(
    --((ISNUMBER(SEARCH("I,", 'Inventory - Public Private FMS'!$H$165:$H$1792))) +
      (ISNUMBER(SEARCH("I",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82" s="218" cm="1">
        <f t="array" ref="J82">SUMPRODUCT(
    --((ISNUMBER(SEARCH("I,", 'Inventory - Public Private FMS'!$H$165:$H$1792))) +
      (ISNUMBER(SEARCH("I", 'Inventory - Public Private FMS'!$H$165:$H$1792))) &gt; 0),
    --(ISNUMBER(SEARCH("Label Rouge", 'Inventory - Public Private FMS'!$P$165:$P$1792))),
    --(
        (ISNUMBER(SEARCH("Eggs", 'Inventory - Public Private FMS'!$F$165:$F$1792))) +
        (ISNUMBER(SEARCH("All food commodities", 'Inventory - Public Private FMS'!$F$165:$F$1792))
    ) &gt; 0
))</f>
        <v>0</v>
      </c>
      <c r="K82" s="218" cm="1">
        <f t="array" ref="K82">SUMPRODUCT(
    --((ISNUMBER(SEARCH("I,", 'Inventory - Public Private FMS'!$H$165:$H$1792))) +
      (ISNUMBER(SEARCH("I",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0</v>
      </c>
      <c r="L82" s="218" cm="1">
        <f t="array" ref="L82">SUMPRODUCT(
    --((ISNUMBER(SEARCH("I,", 'Inventory - Public Private FMS'!$H$165:$H$1792))) +
      (ISNUMBER(SEARCH("I", 'Inventory - Public Private FMS'!$H$165:$H$1792))) &gt; 0),
    --(ISNUMBER(SEARCH("Label Rouge", 'Inventory - Public Private FMS'!$P$165:$P$1792))),
    --(
        (ISNUMBER(SEARCH("Cereals", 'Inventory - Public Private FMS'!$F$165:$F$1792))) +
        (ISNUMBER(SEARCH("All food commodities", 'Inventory - Public Private FMS'!$F$165:$F$1792))
    ) &gt; 0
))</f>
        <v>0</v>
      </c>
    </row>
    <row r="83" spans="2:12">
      <c r="C83" t="s">
        <v>3964</v>
      </c>
      <c r="D83" s="216" t="e" cm="1">
        <f t="array" ref="D83">SUMPRODUCT(
    --((ISNUMBER(SEARCH("I,", 'Inventory - Public Private FMS'!$H$165:$H$1792)) +
        ISNUMBER(SEARCH("I",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83" s="283" t="e" cm="1">
        <f t="array" ref="E83">SUMPRODUCT(
    --((ISNUMBER(SEARCH("I,", 'Inventory - Public Private FMS'!$H$165:$H$1792)) +
        ISNUMBER(SEARCH("I",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83" s="283" t="e" cm="1">
        <f t="array" ref="F83">SUMPRODUCT(
--((ISNUMBER(SEARCH("I,",'Inventory - Public Private FMS'!$H$165:$H$1792))+
ISNUMBER(SEARCH("I",'Inventory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83" s="283" t="e" cm="1">
        <f t="array" ref="G83">SUMPRODUCT(
--((ISNUMBER(SEARCH("I,",'Inventory - Public Private FMS'!$H$165:$H$1792))+
ISNUMBER(SEARCH("I",'Inventory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3" s="283" t="e" cm="1">
        <f t="array" ref="H83">SUMPRODUCT(
--((ISNUMBER(SEARCH("I,",'Inventory - Public Private FMS'!$H$165:$H$1792))+
ISNUMBER(SEARCH("I",'Inventory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83" s="283" t="e" cm="1">
        <f t="array" ref="I83">SUMPRODUCT(
--((ISNUMBER(SEARCH("I,",'Inventory - Public Private FMS'!$H$165:$H$1792))+
ISNUMBER(SEARCH("I",'Inventory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83" s="283" t="e" cm="1">
        <f t="array" ref="J83">SUMPRODUCT(
    --((ISNUMBER(SEARCH("I,", 'Inventory - Public Private FMS'!$H$165:$H$1792)) +
        ISNUMBER(SEARCH("I",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83" s="283" t="e" cm="1">
        <f t="array" ref="K83">SUMPRODUCT(
    --((ISNUMBER(SEARCH("I,", 'Inventory - Public Private FMS'!$H$165:$H$1792)) +
        ISNUMBER(SEARCH("I",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83" s="283" t="e" cm="1">
        <f t="array" ref="L83">SUMPRODUCT(
    --((ISNUMBER(SEARCH("I,", 'Inventory - Public Private FMS'!$H$165:$H$1792)) +
        ISNUMBER(SEARCH("I",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84" spans="2:12">
      <c r="C84" t="s">
        <v>3965</v>
      </c>
      <c r="D84" s="216" cm="1">
        <f t="array" ref="D84">SUMPRODUCT(
    --((ISNUMBER(SEARCH("I,", 'Inventory - Public Private FMS'!$H$165:$H$1792)) +
        ISNUMBER(SEARCH("I", 'Inventory - Public Private FMS'!$H$165:$H$1792))) &gt; 0),
    --(ISNUMBER(SEARCH("Private", 'Inventory - Public Private FMS'!$L$165:$L$1792)))
)</f>
        <v>0</v>
      </c>
      <c r="E84" s="218" cm="1">
        <f t="array" ref="E84">SUMPRODUCT(
    --((ISNUMBER(SEARCH("I,", 'Inventory - Public Private FMS'!$H$165:$H$1792))) +
      (ISNUMBER(SEARCH("I",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84" s="218" cm="1">
        <f t="array" ref="F84">SUMPRODUCT(
    --((ISNUMBER(SEARCH("I,", 'Inventory - Public Private FMS'!$H$165:$H$1792))) +
      (ISNUMBER(SEARCH("I",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84" s="218" cm="1">
        <f t="array" ref="G84">SUMPRODUCT(
    --((ISNUMBER(SEARCH("I,", 'Inventory - Public Private FMS'!$H$165:$H$1792))) +
      (ISNUMBER(SEARCH("I",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84" s="218" cm="1">
        <f t="array" ref="H84">SUMPRODUCT(
    --((ISNUMBER(SEARCH("I,", 'Inventory - Public Private FMS'!$H$165:$H$1792))) +
      (ISNUMBER(SEARCH("I",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84" s="218" cm="1">
        <f t="array" ref="I84">SUMPRODUCT(
    --((ISNUMBER(SEARCH("I,", 'Inventory - Public Private FMS'!$H$165:$H$1792))) +
      (ISNUMBER(SEARCH("I",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84" s="218" cm="1">
        <f t="array" ref="J84">SUMPRODUCT(
    --((ISNUMBER(SEARCH("I,", 'Inventory - Public Private FMS'!$H$165:$H$1792))) +
      (ISNUMBER(SEARCH("I", 'Inventory - Public Private FMS'!$H$165:$H$1792))) &gt; 0),
    --(ISNUMBER(SEARCH("Private", 'Inventory - Public Private FMS'!$L$165:$L$1792))),
    --(
        (ISNUMBER(SEARCH("Eggs", 'Inventory - Public Private FMS'!$F$165:$F$1792))) +
        (ISNUMBER(SEARCH("All food commodities", 'Inventory - Public Private FMS'!$F$165:$F$1792))
    ) &gt; 0
))</f>
        <v>0</v>
      </c>
      <c r="K84" s="218" cm="1">
        <f t="array" ref="K84">SUMPRODUCT(
    --((ISNUMBER(SEARCH("I,", 'Inventory - Public Private FMS'!$H$165:$H$1792))) +
      (ISNUMBER(SEARCH("I",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84" s="218" cm="1">
        <f t="array" ref="L84">SUMPRODUCT(
    --((ISNUMBER(SEARCH("I,", 'Inventory - Public Private FMS'!$H$165:$H$1792))) +
      (ISNUMBER(SEARCH("I", 'Inventory - Public Private FMS'!$H$165:$H$1792))) &gt; 0),
    --(ISNUMBER(SEARCH("Private", 'Inventory - Public Private FMS'!$L$165:$L$1792))),
    --(
        (ISNUMBER(SEARCH("Cereals", 'Inventory - Public Private FMS'!$F$165:$F$1792))) +
        (ISNUMBER(SEARCH("All food commodities", 'Inventory - Public Private FMS'!$F$165:$F$1792))
    ) &gt; 0
))</f>
        <v>0</v>
      </c>
    </row>
    <row r="85" spans="2:12">
      <c r="B85" s="280" t="s">
        <v>116</v>
      </c>
      <c r="C85" s="282" t="s">
        <v>3960</v>
      </c>
      <c r="D85" s="216" cm="1">
        <f t="array" ref="D85">SUMPRODUCT(
--((ISNUMBER(SEARCH("J,",'Inventory - Public Private FMS'!$H$165:$H$1792)))+
(ISNUMBER(SEARCH("J",'Inventory - Public Private FMS'!$H$165:$H$1792)))&gt;0))</f>
        <v>928</v>
      </c>
      <c r="E85" s="218" cm="1">
        <f t="array" ref="E85">SUMPRODUCT(
    --((ISNUMBER(SEARCH("J,", 'Inventory - Public Private FMS'!$H$165:$H$1792))) +
      (ISNUMBER(SEARCH("J", 'Inventory - Public Private FMS'!$H$165:$H$1792))) &gt; 0),
    --(
        (ISNUMBER(SEARCH("Fruits", 'Inventory - Public Private FMS'!$F$165:$F$1792))) +
        (ISNUMBER(SEARCH("Vegetables", 'Inventory - Public Private FMS'!$F$165:$F$1792))) +
        (ISNUMBER(SEARCH("All food commodities", 'Inventory - Public Private FMS'!$F$165:$F$1792))
    ) &gt; 0
))</f>
        <v>396</v>
      </c>
      <c r="F85" s="218" cm="1">
        <f t="array" ref="F85">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84</v>
      </c>
      <c r="G85" s="218" cm="1">
        <f t="array" ref="G85">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117</v>
      </c>
      <c r="H85" s="218" cm="1">
        <f t="array" ref="H85">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261</v>
      </c>
      <c r="I85" s="218" cm="1">
        <f t="array" ref="I85">SUMPRODUCT(
    --((ISNUMBER(SEARCH("J,", 'Inventory - Public Private FMS'!$H$165:$H$1792))) +
      (ISNUMBER(SEARCH("J",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444</v>
      </c>
      <c r="J85" s="218" cm="1">
        <f t="array" ref="J85">SUMPRODUCT(
    --((ISNUMBER(SEARCH("J,", 'Inventory - Public Private FMS'!$H$165:$H$1792))) +
      (ISNUMBER(SEARCH("J", 'Inventory - Public Private FMS'!$H$165:$H$1792))) &gt; 0),
    --(
        (ISNUMBER(SEARCH("Eggs", 'Inventory - Public Private FMS'!$F$165:$F$1792))) +
        (ISNUMBER(SEARCH("All food commodities", 'Inventory - Public Private FMS'!$F$165:$F$1792))
    ) &gt; 0
))</f>
        <v>23</v>
      </c>
      <c r="K85" s="218" cm="1">
        <f t="array" ref="K85">SUMPRODUCT(
    --((ISNUMBER(SEARCH("J,", 'Inventory - Public Private FMS'!$H$165:$H$1792))) +
      (ISNUMBER(SEARCH("J", 'Inventory - Public Private FMS'!$H$165:$H$1792))) &gt; 0),
    --(
        (ISNUMBER(SEARCH("Fish", 'Inventory - Public Private FMS'!$F$165:$F$1792))) +
        (ISNUMBER(SEARCH("Aquaculture", 'Inventory - Public Private FMS'!$F$165:$F$1792))) +
        (ISNUMBER(SEARCH("All food commodities", 'Inventory - Public Private FMS'!$F$165:$F$1792))
    ) &gt; 0
))</f>
        <v>60</v>
      </c>
      <c r="L85" s="218" cm="1">
        <f t="array" ref="L85">SUMPRODUCT(
    --((ISNUMBER(SEARCH("J,", 'Inventory - Public Private FMS'!$H$165:$H$1792))) +
      (ISNUMBER(SEARCH("J", 'Inventory - Public Private FMS'!$H$165:$H$1792))) &gt; 0),
    --(
        (ISNUMBER(SEARCH("Cereals", 'Inventory - Public Private FMS'!$F$165:$F$1792))) +
        (ISNUMBER(SEARCH("All food commodities", 'Inventory - Public Private FMS'!$F$165:$F$1792))
    ) &gt; 0
))</f>
        <v>34</v>
      </c>
    </row>
    <row r="86" spans="2:12">
      <c r="C86" t="s">
        <v>263</v>
      </c>
      <c r="D86" s="216" t="e" cm="1">
        <f t="array" ref="D86">SUMPRODUCT(
    --((ISNUMBER(SEARCH("J,", 'Inventory - Public Private FMS'!$H$165:$H$1792)) +
        ISNUMBER(SEARCH("J", 'Inventory - Public Private FMS'!$H$165:$H$1792))) &gt; 0),
    --(ISNUMBER(SEARCH("EU", 'Inventory - Public Private FMS'!#REF!)))
)</f>
        <v>#VALUE!</v>
      </c>
      <c r="E86" s="218" t="e" cm="1">
        <f t="array" ref="E86">SUMPRODUCT(
    --((ISNUMBER(SEARCH("J,", 'Inventory - Public Private FMS'!$H$165:$H$1792))) +
      (ISNUMBER(SEARCH("J",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86" s="218" t="e" cm="1">
        <f t="array" ref="F86">SUMPRODUCT(
    --((ISNUMBER(SEARCH("J,", 'Inventory - Public Private FMS'!$H$165:$H$1792))) +
      (ISNUMBER(SEARCH("J",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86" s="218" t="e" cm="1">
        <f t="array" ref="G86">SUMPRODUCT(
    --((ISNUMBER(SEARCH("J,", 'Inventory - Public Private FMS'!$H$165:$H$1792))) +
      (ISNUMBER(SEARCH("J",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6" s="218" t="e" cm="1">
        <f t="array" ref="H86">SUMPRODUCT(
    --((ISNUMBER(SEARCH("J,", 'Inventory - Public Private FMS'!$H$165:$H$1792))) +
      (ISNUMBER(SEARCH("J",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86" s="218" t="e" cm="1">
        <f t="array" ref="I86">SUMPRODUCT(
    --((ISNUMBER(SEARCH("J,", 'Inventory - Public Private FMS'!$H$165:$H$1792))) +
      (ISNUMBER(SEARCH("J",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86" s="218" t="e" cm="1">
        <f t="array" ref="J86">SUMPRODUCT(
    --((ISNUMBER(SEARCH("J,", 'Inventory - Public Private FMS'!$H$165:$H$1792))) +
      (ISNUMBER(SEARCH("J", 'Inventory - Public Private FMS'!$H$165:$H$1792))) &gt; 0),
    --(ISNUMBER(SEARCH("EU", 'Inventory - Public Private FMS'!#REF!))),
    --(
        (ISNUMBER(SEARCH("Eggs", 'Inventory - Public Private FMS'!$F$165:$F$1792))) +
        (ISNUMBER(SEARCH("All food commodities", 'Inventory - Public Private FMS'!$F$165:$F$1792))
    ) &gt; 0))</f>
        <v>#VALUE!</v>
      </c>
      <c r="K86" s="218" t="e" cm="1">
        <f t="array" ref="K86">SUMPRODUCT(
    --((ISNUMBER(SEARCH("J,", 'Inventory - Public Private FMS'!$H$165:$H$1792))) +
      (ISNUMBER(SEARCH("J",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86" s="218" t="e" cm="1">
        <f t="array" ref="L86">SUMPRODUCT(
    --((ISNUMBER(SEARCH("J,", 'Inventory - Public Private FMS'!$H$165:$H$1792))) +
      (ISNUMBER(SEARCH("J", 'Inventory - Public Private FMS'!$H$165:$H$1792))) &gt; 0),
    --(ISNUMBER(SEARCH("EU", 'Inventory - Public Private FMS'!#REF!))),
    --(
        (ISNUMBER(SEARCH("Cereals", 'Inventory - Public Private FMS'!$F$165:$F$1792))) +
        (ISNUMBER(SEARCH("All food commodities", 'Inventory - Public Private FMS'!$F$165:$F$1792))
    ) &gt; 0
))</f>
        <v>#VALUE!</v>
      </c>
    </row>
    <row r="87" spans="2:12">
      <c r="C87" t="s">
        <v>3928</v>
      </c>
      <c r="D87" s="216" t="e" cm="1">
        <f t="array" ref="D87">SUMPRODUCT(
    --((ISNUMBER(SEARCH("J,", 'Inventory - Public Private FMS'!$H$165:$H$1792)) +
        ISNUMBER(SEARCH("J", 'Inventory - Public Private FMS'!$H$165:$H$1792))) &gt; 0),
    --(ISNUMBER(SEARCH("OECD", 'Inventory - Public Private FMS'!#REF!)))
)</f>
        <v>#VALUE!</v>
      </c>
      <c r="E87" s="218" t="e" cm="1">
        <f t="array" ref="E87">SUMPRODUCT(
    --((ISNUMBER(SEARCH("J,", 'Inventory - Public Private FMS'!$H$165:$H$1792))) +
      (ISNUMBER(SEARCH("J",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87" s="218" t="e" cm="1">
        <f t="array" ref="F87">SUMPRODUCT(
    --((ISNUMBER(SEARCH("J,", 'Inventory - Public Private FMS'!$H$165:$H$1792))) +
      (ISNUMBER(SEARCH("J",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87" s="218" t="e" cm="1">
        <f t="array" ref="G87">SUMPRODUCT(
    --((ISNUMBER(SEARCH("J,", 'Inventory - Public Private FMS'!$H$165:$H$1792))) +
      (ISNUMBER(SEARCH("J",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7" s="218" t="e" cm="1">
        <f t="array" ref="H87">SUMPRODUCT(
    --((ISNUMBER(SEARCH("J,", 'Inventory - Public Private FMS'!$H$165:$H$1792))) +
      (ISNUMBER(SEARCH("J",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87" s="218" t="e" cm="1">
        <f t="array" ref="I87">SUMPRODUCT(
    --((ISNUMBER(SEARCH("J,", 'Inventory - Public Private FMS'!$H$165:$H$1792))) +
      (ISNUMBER(SEARCH("J",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87" s="218" t="e" cm="1">
        <f t="array" ref="J87">SUMPRODUCT(
    --((ISNUMBER(SEARCH("J,", 'Inventory - Public Private FMS'!$H$165:$H$1792))) +
      (ISNUMBER(SEARCH("J", 'Inventory - Public Private FMS'!$H$165:$H$1792))) &gt; 0),
    --(ISNUMBER(SEARCH("OECD", 'Inventory - Public Private FMS'!#REF!))),
    --(
        (ISNUMBER(SEARCH("Eggs", 'Inventory - Public Private FMS'!$F$165:$F$1792))) +
        (ISNUMBER(SEARCH("All food commodities", 'Inventory - Public Private FMS'!$F$165:$F$1792))
    ) &gt; 0
))</f>
        <v>#VALUE!</v>
      </c>
      <c r="K87" s="218" t="e" cm="1">
        <f t="array" ref="K87">SUMPRODUCT(
    --((ISNUMBER(SEARCH("J,", 'Inventory - Public Private FMS'!$H$165:$H$1792))) +
      (ISNUMBER(SEARCH("J",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87" s="218" t="e" cm="1">
        <f t="array" ref="L87">SUMPRODUCT(
    --((ISNUMBER(SEARCH("J,", 'Inventory - Public Private FMS'!$H$165:$H$1792))) +
      (ISNUMBER(SEARCH("J", 'Inventory - Public Private FMS'!$H$165:$H$1792))) &gt; 0),
    --(ISNUMBER(SEARCH("OECD", 'Inventory - Public Private FMS'!#REF!))),
    --(
        (ISNUMBER(SEARCH("Cereals", 'Inventory - Public Private FMS'!$F$165:$F$1792))) +
        (ISNUMBER(SEARCH("All food commodities", 'Inventory - Public Private FMS'!$F$165:$F$1792))
    ) &gt; 0
))</f>
        <v>#VALUE!</v>
      </c>
    </row>
    <row r="88" spans="2:12">
      <c r="C88" t="s">
        <v>3926</v>
      </c>
      <c r="D88" s="216" t="e" cm="1">
        <f t="array" ref="D88">SUMPRODUCT(
    --((ISNUMBER(SEARCH("J,", 'Inventory - Public Private FMS'!$H$165:$H$1792)) +
        ISNUMBER(SEARCH("J", 'Inventory - Public Private FMS'!$H$165:$H$1792))) &gt; 0),
    --(ISNUMBER(SEARCH("UNECE", 'Inventory - Public Private FMS'!#REF!)))
)</f>
        <v>#VALUE!</v>
      </c>
      <c r="E88" s="218" t="e" cm="1">
        <f t="array" ref="E88">SUMPRODUCT(
    --((ISNUMBER(SEARCH("J,", 'Inventory - Public Private FMS'!$H$165:$H$1792))) +
      (ISNUMBER(SEARCH("J",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88" s="218" t="e" cm="1">
        <f t="array" ref="F88">SUMPRODUCT(
    --((ISNUMBER(SEARCH("J,", 'Inventory - Public Private FMS'!$H$165:$H$1792))) +
      (ISNUMBER(SEARCH("J",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88" s="218" t="e" cm="1">
        <f t="array" ref="G88">SUMPRODUCT(
    --((ISNUMBER(SEARCH("J,", 'Inventory - Public Private FMS'!$H$165:$H$1792))) +
      (ISNUMBER(SEARCH("J",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8" s="218" t="e" cm="1">
        <f t="array" ref="H88">SUMPRODUCT(
    --((ISNUMBER(SEARCH("J,", 'Inventory - Public Private FMS'!$H$165:$H$1792))) +
      (ISNUMBER(SEARCH("J",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88" s="218" t="e" cm="1">
        <f t="array" ref="I88">SUMPRODUCT(
    --((ISNUMBER(SEARCH("J,", 'Inventory - Public Private FMS'!$H$165:$H$1792))) +
      (ISNUMBER(SEARCH("J",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88" s="218" t="e" cm="1">
        <f t="array" ref="J88">SUMPRODUCT(
    --((ISNUMBER(SEARCH("J,", 'Inventory - Public Private FMS'!$H$165:$H$1792))) +
      (ISNUMBER(SEARCH("J", 'Inventory - Public Private FMS'!$H$165:$H$1792))) &gt; 0),
    --(ISNUMBER(SEARCH("UNECE", 'Inventory - Public Private FMS'!#REF!))),
     --(
        (ISNUMBER(SEARCH("Eggs", 'Inventory - Public Private FMS'!$F$165:$F$1792))) +
        (ISNUMBER(SEARCH("All food commodities", 'Inventory - Public Private FMS'!$F$165:$F$1792))
    ) &gt; 0
))</f>
        <v>#VALUE!</v>
      </c>
      <c r="K88" s="218" t="e" cm="1">
        <f t="array" ref="K88">SUMPRODUCT(
    --((ISNUMBER(SEARCH("J,", 'Inventory - Public Private FMS'!$H$165:$H$1792))) +
      (ISNUMBER(SEARCH("J",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88" s="218" t="e" cm="1">
        <f t="array" ref="L88">SUMPRODUCT(
    --((ISNUMBER(SEARCH("J,", 'Inventory - Public Private FMS'!$H$165:$H$1792))) +
      (ISNUMBER(SEARCH("J", 'Inventory - Public Private FMS'!$H$165:$H$1792))) &gt; 0),
    --(ISNUMBER(SEARCH("UNECE", 'Inventory - Public Private FMS'!#REF!))),
    --(
        (ISNUMBER(SEARCH("Cereals", 'Inventory - Public Private FMS'!$F$165:$F$1792))) +
        (ISNUMBER(SEARCH("All food commodities", 'Inventory - Public Private FMS'!$F$165:$F$1792))
    ) &gt; 0
))</f>
        <v>#VALUE!</v>
      </c>
    </row>
    <row r="89" spans="2:12">
      <c r="C89" t="s">
        <v>3930</v>
      </c>
      <c r="D89" s="216" t="e" cm="1">
        <f t="array" ref="D89">SUMPRODUCT(
    --((ISNUMBER(SEARCH("J,", 'Inventory - Public Private FMS'!$H$165:$H$1792)) +
        ISNUMBER(SEARCH("J", 'Inventory - Public Private FMS'!$H$165:$H$1792))) &gt; 0),
    --(ISNUMBER(SEARCH("Codex Alimentarius", 'Inventory - Public Private FMS'!#REF!)))
)</f>
        <v>#VALUE!</v>
      </c>
      <c r="E89" s="218" t="e" cm="1">
        <f t="array" ref="E89">SUMPRODUCT(
    --((ISNUMBER(SEARCH("J,", 'Inventory - Public Private FMS'!$H$165:$H$1792))) +
      (ISNUMBER(SEARCH("J",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89" s="218" t="e" cm="1">
        <f t="array" ref="F89">SUMPRODUCT(
    --((ISNUMBER(SEARCH("J,", 'Inventory - Public Private FMS'!$H$165:$H$1792))) +
      (ISNUMBER(SEARCH("J",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89" s="218" t="e" cm="1">
        <f t="array" ref="G89">SUMPRODUCT(
    --((ISNUMBER(SEARCH("J,", 'Inventory - Public Private FMS'!$H$165:$H$1792))) +
      (ISNUMBER(SEARCH("J",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89" s="218" t="e" cm="1">
        <f t="array" ref="H89">SUMPRODUCT(
    --((ISNUMBER(SEARCH("J,", 'Inventory - Public Private FMS'!$H$165:$H$1792))) +
      (ISNUMBER(SEARCH("J",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89" s="218" t="e" cm="1">
        <f t="array" ref="I89">SUMPRODUCT(
    --((ISNUMBER(SEARCH("J,", 'Inventory - Public Private FMS'!$H$165:$H$1792))) +
      (ISNUMBER(SEARCH("J",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89" s="218" t="e" cm="1">
        <f t="array" ref="J89">SUMPRODUCT(
    --((ISNUMBER(SEARCH("J,", 'Inventory - Public Private FMS'!$H$165:$H$1792))) +
      (ISNUMBER(SEARCH("J", 'Inventory - Public Private FMS'!$H$165:$H$1792))) &gt; 0),
    --(ISNUMBER(SEARCH("Codex Alimentarius", 'Inventory - Public Private FMS'!#REF!))),
    --(
        (ISNUMBER(SEARCH("Eggs", 'Inventory - Public Private FMS'!$F$165:$F$1792))) +
        (ISNUMBER(SEARCH("All food commodities", 'Inventory - Public Private FMS'!$F$165:$F$1792))
    ) &gt; 0
))</f>
        <v>#VALUE!</v>
      </c>
      <c r="K89" s="218" t="e" cm="1">
        <f t="array" ref="K89">SUMPRODUCT(
    --((ISNUMBER(SEARCH("J,", 'Inventory - Public Private FMS'!$H$165:$H$1792))) +
      (ISNUMBER(SEARCH("J",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89" s="218" t="e" cm="1">
        <f t="array" ref="L89">SUMPRODUCT(
    --((ISNUMBER(SEARCH("J,", 'Inventory - Public Private FMS'!$H$165:$H$1792))) +
      (ISNUMBER(SEARCH("J", 'Inventory - Public Private FMS'!$H$165:$H$1792))) &gt; 0),
    --(ISNUMBER(SEARCH("Codex Alimentarius", 'Inventory - Public Private FMS'!#REF!))),
    --(
        (ISNUMBER(SEARCH("Cereals", 'Inventory - Public Private FMS'!$F$165:$F$1792))) +
        (ISNUMBER(SEARCH("All food commodities", 'Inventory - Public Private FMS'!$F$165:$F$1792))
    ) &gt; 0
))</f>
        <v>#VALUE!</v>
      </c>
    </row>
    <row r="90" spans="2:12">
      <c r="C90" t="s">
        <v>2405</v>
      </c>
      <c r="D90" s="216" cm="1">
        <f t="array" ref="D90">SUMPRODUCT(
    --((ISNUMBER(SEARCH("J,", 'Inventory - Public Private FMS'!$H$165:$H$1792)) +
        ISNUMBER(SEARCH("J", 'Inventory - Public Private FMS'!$H$165:$H$1792))) &gt; 0),
    --(ISNUMBER(SEARCH("Label Rouge", 'Inventory - Public Private FMS'!$P$165:$P$1792)))
)</f>
        <v>328</v>
      </c>
      <c r="E90" s="218" cm="1">
        <f t="array" ref="E90">SUMPRODUCT(
    --((ISNUMBER(SEARCH("J,", 'Inventory - Public Private FMS'!$H$165:$H$1792))) +
      (ISNUMBER(SEARCH("J",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90" s="218" cm="1">
        <f t="array" ref="F90">SUMPRODUCT(
    --((ISNUMBER(SEARCH("J,", 'Inventory - Public Private FMS'!$H$165:$H$1792))) +
      (ISNUMBER(SEARCH("J",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90" s="218" cm="1">
        <f t="array" ref="G90">SUMPRODUCT(
    --((ISNUMBER(SEARCH("J,", 'Inventory - Public Private FMS'!$H$165:$H$1792))) +
      (ISNUMBER(SEARCH("J",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90" s="218" cm="1">
        <f t="array" ref="H90">SUMPRODUCT(
    --((ISNUMBER(SEARCH("J,", 'Inventory - Public Private FMS'!$H$165:$H$1792))) +
      (ISNUMBER(SEARCH("J",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90" s="218" cm="1">
        <f t="array" ref="I90">SUMPRODUCT(
    --((ISNUMBER(SEARCH("J,", 'Inventory - Public Private FMS'!$H$165:$H$1792))) +
      (ISNUMBER(SEARCH("J",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90" s="218" cm="1">
        <f t="array" ref="J90">SUMPRODUCT(
    --((ISNUMBER(SEARCH("J,", 'Inventory - Public Private FMS'!$H$165:$H$1792))) +
      (ISNUMBER(SEARCH("J", 'Inventory - Public Private FMS'!$H$165:$H$1792))) &gt; 0),
    --(ISNUMBER(SEARCH("Label Rouge", 'Inventory - Public Private FMS'!$P$165:$P$1792))),
    --(
        (ISNUMBER(SEARCH("Eggs", 'Inventory - Public Private FMS'!$F$165:$F$1792))) +
        (ISNUMBER(SEARCH("All food commodities", 'Inventory - Public Private FMS'!$F$165:$F$1792))
    ) &gt; 0
))</f>
        <v>14</v>
      </c>
      <c r="K90" s="218" cm="1">
        <f t="array" ref="K90">SUMPRODUCT(
    --((ISNUMBER(SEARCH("J,", 'Inventory - Public Private FMS'!$H$165:$H$1792))) +
      (ISNUMBER(SEARCH("J",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19</v>
      </c>
      <c r="L90" s="218" cm="1">
        <f t="array" ref="L90">SUMPRODUCT(
    --((ISNUMBER(SEARCH("J,", 'Inventory - Public Private FMS'!$H$165:$H$1792))) +
      (ISNUMBER(SEARCH("J", 'Inventory - Public Private FMS'!$H$165:$H$1792))) &gt; 0),
    --(ISNUMBER(SEARCH("Label Rouge", 'Inventory - Public Private FMS'!$P$165:$P$1792))),
    --(
        (ISNUMBER(SEARCH("Cereals", 'Inventory - Public Private FMS'!$F$165:$F$1792))) +
        (ISNUMBER(SEARCH("All food commodities", 'Inventory - Public Private FMS'!$F$165:$F$1792))
    ) &gt; 0
))</f>
        <v>7</v>
      </c>
    </row>
    <row r="91" spans="2:12">
      <c r="C91" t="s">
        <v>3964</v>
      </c>
      <c r="D91" s="216" t="e" cm="1">
        <f t="array" ref="D91">SUMPRODUCT(
    --((ISNUMBER(SEARCH("J,", 'Inventory - Public Private FMS'!$H$165:$H$1792)) +
        ISNUMBER(SEARCH("J",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--(NOT(ISNUMBER(SEARCH("Protected Designation of Origin (PDO) / Protected Geographical indication (PGI)", 'Inventory - Public Private FMS'!$P$165:$P$1792)))))</f>
        <v>#VALUE!</v>
      </c>
      <c r="E91" s="283" t="e" cm="1">
        <f t="array" ref="E91">SUMPRODUCT(
    --((ISNUMBER(SEARCH("J,", 'Inventory - Public Private FMS'!$H$165:$H$1792)) +
        ISNUMBER(SEARCH("J",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--(NOT(ISNUMBER(SEARCH("Protected Designation of Origin (PDO) / Protected Geographical indication (PGI)", 'Inventory - Public Private FMS'!$P$165:$P$1792)))),
    --((ISNUMBER(SEARCH("Fruits", 'Inventory - Public Private FMS'!$F$165:$F$1792))) +
        (ISNUMBER(SEARCH("Vegetables", 'Inventory - Public Private FMS'!$F$165:$F$1792))) +
        (ISNUMBER(SEARCH("All food commodities", 'Inventory - Public Private FMS'!$F$165:$F$1792))) &gt; 0)
)</f>
        <v>#VALUE!</v>
      </c>
      <c r="F91" s="283" t="e" cm="1">
        <f t="array" ref="F91">SUMPRODUCT(
--((ISNUMBER(SEARCH("J,",'Inventory - Public Private FMS'!$H$165:$H$1792))+
ISNUMBER(SEARCH("J",'Inventory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 'Inventory - Public Private FMS'!$P$165:$P$1792)))),
    --(NOT(ISNUMBER(SEARCH("Protected Designation of Origin (PDO) / Protected Geographical indication (PGI)", 'Inventory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91" s="283" t="e" cm="1">
        <f t="array" ref="G91">SUMPRODUCT(
--((ISNUMBER(SEARCH("J,",'Inventory - Public Private FMS'!$H$165:$H$1792))+
ISNUMBER(SEARCH("J",'Inventory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 'Inventory - Public Private FMS'!$P$165:$P$1792)))),
    --(NOT(ISNUMBER(SEARCH("Protected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91" s="283" t="e" cm="1">
        <f t="array" ref="H91">SUMPRODUCT(
--((ISNUMBER(SEARCH("J,",'Inventory - Public Private FMS'!$H$165:$H$1792))+
ISNUMBER(SEARCH("J",'Inventory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 'Inventory - Public Private FMS'!$P$165:$P$1792)))),
    --(NOT(ISNUMBER(SEARCH("Protected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91" s="283" t="e" cm="1">
        <f t="array" ref="I91">SUMPRODUCT(
--((ISNUMBER(SEARCH("J,",'Inventory - Public Private FMS'!$H$165:$H$1792))+
ISNUMBER(SEARCH("J",'Inventory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 'Inventory - Public Private FMS'!$P$165:$P$1792)))),
    --(NOT(ISNUMBER(SEARCH("Protected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91" s="283" t="e" cm="1">
        <f t="array" ref="J91">SUMPRODUCT(
    --((ISNUMBER(SEARCH("J,", 'Inventory - Public Private FMS'!$H$165:$H$1792)) +
        ISNUMBER(SEARCH("J",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--(NOT(ISNUMBER(SEARCH("Protected Designation of Origin (PDO) / Protected Geographical indication (PGI)", 'Inventory - Public Private FMS'!$P$165:$P$1792)))),
    --(
        (ISNUMBER(SEARCH("Eggs", 'Inventory - Public Private FMS'!$F$165:$F$1792))) +
        (ISNUMBER(SEARCH("All food commodities", 'Inventory - Public Private FMS'!$F$165:$F$1792))
    ) &gt; 0
)
)</f>
        <v>#VALUE!</v>
      </c>
      <c r="K91" s="283" t="e" cm="1">
        <f t="array" ref="K91">SUMPRODUCT(
    --((ISNUMBER(SEARCH("J,", 'Inventory - Public Private FMS'!$H$165:$H$1792)) +
        ISNUMBER(SEARCH("J",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--(NOT(ISNUMBER(SEARCH("Protected Designation of Origin (PDO) / Protected Geographical indication (PGI)", 'Inventory - Public Private FMS'!$P$165:$P$1792)))),
    --(
        (ISNUMBER(SEARCH("Fish", 'Inventory - Public Private FMS'!$F$165:$F$1792))) +
        (ISNUMBER(SEARCH("Aquaculture", 'Inventory - Public Private FMS'!$F$165:$F$1792))) +
        (ISNUMBER(SEARCH("All food commodities", 'Inventory - Public Private FMS'!$F$165:$F$1792))
    ) &gt; 0
)
)</f>
        <v>#VALUE!</v>
      </c>
      <c r="L91" s="283" t="e" cm="1">
        <f t="array" ref="L91">SUMPRODUCT(
    --((ISNUMBER(SEARCH("J,", 'Inventory - Public Private FMS'!$H$165:$H$1792)) +
        ISNUMBER(SEARCH("J",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--(NOT(ISNUMBER(SEARCH("Protected Designation of Origin (PDO) / Protected Geographical indication (PGI)", 'Inventory - Public Private FMS'!$P$165:$P$1792)))),
    --(
        (ISNUMBER(SEARCH("Cereals", 'Inventory - Public Private FMS'!$F$165:$F$1792))) +
        (ISNUMBER(SEARCH("All food commodities", 'Inventory - Public Private FMS'!$F$165:$F$1792))
    ) &gt; 0
)
)</f>
        <v>#VALUE!</v>
      </c>
    </row>
    <row r="92" spans="2:12">
      <c r="C92" t="s">
        <v>3965</v>
      </c>
      <c r="D92" s="216" cm="1">
        <f t="array" ref="D92">SUMPRODUCT(
    --((ISNUMBER(SEARCH("J,", 'Inventory - Public Private FMS'!$H$165:$H$1792)) +
        ISNUMBER(SEARCH("J", 'Inventory - Public Private FMS'!$H$165:$H$1792))) &gt; 0),
    --(ISNUMBER(SEARCH("Private", 'Inventory - Public Private FMS'!$L$165:$L$1792)))
)</f>
        <v>0</v>
      </c>
      <c r="E92" s="218" cm="1">
        <f t="array" ref="E92">SUMPRODUCT(
    --((ISNUMBER(SEARCH("J,", 'Inventory - Public Private FMS'!$H$165:$H$1792))) +
      (ISNUMBER(SEARCH("J",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92" s="218" cm="1">
        <f t="array" ref="F92">SUMPRODUCT(
    --((ISNUMBER(SEARCH("J,", 'Inventory - Public Private FMS'!$H$165:$H$1792))) +
      (ISNUMBER(SEARCH("J",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92" s="218" cm="1">
        <f t="array" ref="G92">SUMPRODUCT(
    --((ISNUMBER(SEARCH("J,", 'Inventory - Public Private FMS'!$H$165:$H$1792))) +
      (ISNUMBER(SEARCH("J",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92" s="218" cm="1">
        <f t="array" ref="H92">SUMPRODUCT(
    --((ISNUMBER(SEARCH("J,", 'Inventory - Public Private FMS'!$H$165:$H$1792))) +
      (ISNUMBER(SEARCH("J",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92" s="218" cm="1">
        <f t="array" ref="I92">SUMPRODUCT(
    --((ISNUMBER(SEARCH("J,", 'Inventory - Public Private FMS'!$H$165:$H$1792))) +
      (ISNUMBER(SEARCH("J",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92" s="218" cm="1">
        <f t="array" ref="J92">SUMPRODUCT(
    --((ISNUMBER(SEARCH("J,", 'Inventory - Public Private FMS'!$H$165:$H$1792))) +
      (ISNUMBER(SEARCH("J", 'Inventory - Public Private FMS'!$H$165:$H$1792))) &gt; 0),
    --(ISNUMBER(SEARCH("Private", 'Inventory - Public Private FMS'!$L$165:$L$1792))),
    --(
        (ISNUMBER(SEARCH("Eggs", 'Inventory - Public Private FMS'!$F$165:$F$1792))) +
        (ISNUMBER(SEARCH("All food commodities", 'Inventory - Public Private FMS'!$F$165:$F$1792))
    ) &gt; 0
))</f>
        <v>0</v>
      </c>
      <c r="K92" s="218" cm="1">
        <f t="array" ref="K92">SUMPRODUCT(
    --((ISNUMBER(SEARCH("J,", 'Inventory - Public Private FMS'!$H$165:$H$1792))) +
      (ISNUMBER(SEARCH("J",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92" s="218" cm="1">
        <f t="array" ref="L92">SUMPRODUCT(
    --((ISNUMBER(SEARCH("J,", 'Inventory - Public Private FMS'!$H$165:$H$1792))) +
      (ISNUMBER(SEARCH("J", 'Inventory - Public Private FMS'!$H$165:$H$1792))) &gt; 0),
    --(ISNUMBER(SEARCH("Private", 'Inventory - Public Private FMS'!$L$165:$L$1792))),
    --(
        (ISNUMBER(SEARCH("Cereals", 'Inventory - Public Private FMS'!$F$165:$F$1792))) +
        (ISNUMBER(SEARCH("All food commodities", 'Inventory - Public Private FMS'!$F$165:$F$1792))
    ) &gt; 0
))</f>
        <v>0</v>
      </c>
    </row>
    <row r="93" spans="2:12">
      <c r="C93" t="s">
        <v>3932</v>
      </c>
      <c r="D93" s="216" cm="1">
        <f t="array" ref="D93">SUMPRODUCT(
    --((ISNUMBER(SEARCH("J,", 'Inventory - Public Private FMS'!$H$165:$H$1792)) +
        ISNUMBER(SEARCH("J", 'Inventory - Public Private FMS'!$H$165:$H$1792))) &gt; 0),
    --(ISNUMBER(SEARCH("Protected Designation of Origin (PDO) / Protected Geographical indication (PGI)", 'Inventory - Public Private FMS'!$P$165:$P$1792)))
)</f>
        <v>559</v>
      </c>
      <c r="E93" s="218" cm="1">
        <f t="array" ref="E93">SUMPRODUCT(
    --((ISNUMBER(SEARCH("J,", 'Inventory - Public Private FMS'!$H$165:$H$1792))) +
      (ISNUMBER(SEARCH("J", 'Inventory - Public Private FMS'!$H$165:$H$1792))) &gt; 0),
    --(ISNUMBER(SEARCH("Protected Designation of Origin (PDO) / Protected Geographical indication (PGI)", 'Inventory - Public Private FMS'!$P$165:$P$1792))),
    --(
        (ISNUMBER(SEARCH("Fruits", 'Inventory - Public Private FMS'!$F$165:$F$1792))) +
        (ISNUMBER(SEARCH("Vegetables", 'Inventory - Public Private FMS'!$F$165:$F$1792))) +
        (ISNUMBER(SEARCH("All food commodities", 'Inventory - Public Private FMS'!$F$165:$F$1792))
    ) &gt; 0
))</f>
        <v>329</v>
      </c>
      <c r="F93" s="218" cm="1">
        <f t="array" ref="F93">SUMPRODUCT(
    --((ISNUMBER(SEARCH("J,", 'Inventory - Public Private FMS'!$H$165:$H$1792))) +
      (ISNUMBER(SEARCH("J", 'Inventory - Public Private FMS'!$H$165:$H$1792))) &gt; 0),
    --(ISNUMBER(SEARCH("Protected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
))</f>
        <v>48</v>
      </c>
      <c r="G93" s="218" cm="1">
        <f t="array" ref="G93">SUMPRODUCT(
    --((ISNUMBER(SEARCH("J,", 'Inventory - Public Private FMS'!$H$165:$H$1792))) +
      (ISNUMBER(SEARCH("J", 'Inventory - Public Private FMS'!$H$165:$H$1792))) &gt; 0),
    --(ISNUMBER(SEARCH("Protected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81</v>
      </c>
      <c r="H93" s="218" cm="1">
        <f t="array" ref="H93">SUMPRODUCT(
    --((ISNUMBER(SEARCH("J,", 'Inventory - Public Private FMS'!$H$165:$H$1792))) +
      (ISNUMBER(SEARCH("J", 'Inventory - Public Private FMS'!$H$165:$H$1792))) &gt; 0),
    --(ISNUMBER(SEARCH("Protected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f>
        <v>45</v>
      </c>
      <c r="I93" s="218" cm="1">
        <f t="array" ref="I93">SUMPRODUCT(
    --((ISNUMBER(SEARCH("J,", 'Inventory - Public Private FMS'!$H$165:$H$1792))) +
      (ISNUMBER(SEARCH("J", 'Inventory - Public Private FMS'!$H$165:$H$1792))) &gt; 0),
    --(ISNUMBER(SEARCH("Protected Designation of Origin (PDO) / Protected Geographical indication (PGI)",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174</v>
      </c>
      <c r="J93" s="218" cm="1">
        <f t="array" ref="J93">SUMPRODUCT(
    --((ISNUMBER(SEARCH("J,", 'Inventory - Public Private FMS'!$H$165:$H$1792))) +
      (ISNUMBER(SEARCH("J", 'Inventory - Public Private FMS'!$H$165:$H$1792))) &gt; 0),
    --(ISNUMBER(SEARCH("Protected Designation of Origin (PDO) / Protected Geographical indication (PGI)", 'Inventory - Public Private FMS'!$P$165:$P$1792))),
    --(
        (ISNUMBER(SEARCH("Eggs", 'Inventory - Public Private FMS'!$F$165:$F$1792))) +
        (ISNUMBER(SEARCH("All food commodities", 'Inventory - Public Private FMS'!$F$165:$F$1792))
    ) &gt; 0
))</f>
        <v>2</v>
      </c>
      <c r="K93" s="218" cm="1">
        <f t="array" ref="K93">SUMPRODUCT(
    --((ISNUMBER(SEARCH("J,", 'Inventory - Public Private FMS'!$H$165:$H$1792))) +
      (ISNUMBER(SEARCH("J", 'Inventory - Public Private FMS'!$H$165:$H$1792))) &gt; 0),
    --(ISNUMBER(SEARCH("Protected Designation of Origin (PDO) / Protected Geographical indication (PGI)", 'Inventory - Public Private FMS'!$P$165:$P$1792))),
    --(
        (ISNUMBER(SEARCH("Fish", 'Inventory - Public Private FMS'!$F$165:$F$1792))) +
        (ISNUMBER(SEARCH("Aquaculture", 'Inventory - Public Private FMS'!$F$165:$F$1792))) +
        (ISNUMBER(SEARCH("All food commodities", 'Inventory - Public Private FMS'!$F$165:$F$1792))
    ) &gt; 0
))</f>
        <v>34</v>
      </c>
      <c r="L93" s="218" cm="1">
        <f t="array" ref="L93">SUMPRODUCT(
    --((ISNUMBER(SEARCH("J,", 'Inventory - Public Private FMS'!$H$165:$H$1792))) +
      (ISNUMBER(SEARCH("J", 'Inventory - Public Private FMS'!$H$165:$H$1792))) &gt; 0),
    --(ISNUMBER(SEARCH("Protected Designation of Origin (PDO) / Protected Geographical indication (PGI)", 'Inventory - Public Private FMS'!$P$165:$P$1792))),
    --(
        (ISNUMBER(SEARCH("Cereals", 'Inventory - Public Private FMS'!$F$165:$F$1792))) +
        (ISNUMBER(SEARCH("All food commodities", 'Inventory - Public Private FMS'!$F$165:$F$1792))
    ) &gt; 0
))</f>
        <v>20</v>
      </c>
    </row>
    <row r="94" spans="2:12">
      <c r="B94" s="280" t="s">
        <v>124</v>
      </c>
      <c r="C94" s="280" t="s">
        <v>3961</v>
      </c>
      <c r="D94" s="216" cm="1">
        <f t="array" ref="D94">SUMPRODUCT(
--((ISNUMBER(SEARCH("K,",'Inventory - Public Private FMS'!$H$165:$H$1792)))+
(ISNUMBER(SEARCH("K",'Inventory - Public Private FMS'!$H$165:$H$1792)))&gt;0))</f>
        <v>12</v>
      </c>
      <c r="E94" s="218" cm="1">
        <f t="array" ref="E94">SUMPRODUCT(
    --((ISNUMBER(SEARCH("K,", 'Inventory - Public Private FMS'!$H$165:$H$1792))) +
      (ISNUMBER(SEARCH("K", 'Inventory - Public Private FMS'!$H$165:$H$1792))) &gt; 0),
    --(
        (ISNUMBER(SEARCH("Fruits", 'Inventory - Public Private FMS'!$F$165:$F$1792))) +
        (ISNUMBER(SEARCH("Vegetables", 'Inventory - Public Private FMS'!$F$165:$F$1792))) +
        (ISNUMBER(SEARCH("All food commodities", 'Inventory - Public Private FMS'!$F$165:$F$1792))
    ) &gt; 0
))</f>
        <v>6</v>
      </c>
      <c r="F94" s="218" cm="1">
        <f t="array" ref="F9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7</v>
      </c>
      <c r="G94" s="218" cm="1">
        <f t="array" ref="G9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7</v>
      </c>
      <c r="H94" s="218" cm="1">
        <f t="array" ref="H9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6</v>
      </c>
      <c r="I94" s="218" cm="1">
        <f t="array" ref="I94">SUMPRODUCT(
    --((ISNUMBER(SEARCH("K,", 'Inventory - Public Private FMS'!$H$165:$H$1792))) +
      (ISNUMBER(SEARCH("K",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7</v>
      </c>
      <c r="J94" s="218" cm="1">
        <f t="array" ref="J94">SUMPRODUCT(
    --((ISNUMBER(SEARCH("K,", 'Inventory - Public Private FMS'!$H$165:$H$1792))) +
      (ISNUMBER(SEARCH("K", 'Inventory - Public Private FMS'!$H$165:$H$1792))) &gt; 0),
    --(
        (ISNUMBER(SEARCH("Eggs", 'Inventory - Public Private FMS'!$F$165:$F$1792))) +
        (ISNUMBER(SEARCH("All food commodities", 'Inventory - Public Private FMS'!$F$165:$F$1792))
    ) &gt; 0
))</f>
        <v>5</v>
      </c>
      <c r="K94" s="218" cm="1">
        <f t="array" ref="K94">SUMPRODUCT(
    --((ISNUMBER(SEARCH("K,", 'Inventory - Public Private FMS'!$H$165:$H$1792))) +
      (ISNUMBER(SEARCH("K", 'Inventory - Public Private FMS'!$H$165:$H$1792))) &gt; 0),
    --(
        (ISNUMBER(SEARCH("Fish", 'Inventory - Public Private FMS'!$F$165:$F$1792))) +
        (ISNUMBER(SEARCH("Aquaculture", 'Inventory - Public Private FMS'!$F$165:$F$1792))) +
        (ISNUMBER(SEARCH("All food commodities", 'Inventory - Public Private FMS'!$F$165:$F$1792))
    ) &gt; 0
))</f>
        <v>5</v>
      </c>
      <c r="L94" s="218" cm="1">
        <f t="array" ref="L94">SUMPRODUCT(
    --((ISNUMBER(SEARCH("K,", 'Inventory - Public Private FMS'!$H$165:$H$1792))) +
      (ISNUMBER(SEARCH("K", 'Inventory - Public Private FMS'!$H$165:$H$1792))) &gt; 0),
    --(
        (ISNUMBER(SEARCH("Cereals", 'Inventory - Public Private FMS'!$F$165:$F$1792))) +
        (ISNUMBER(SEARCH("All food commodities", 'Inventory - Public Private FMS'!$F$165:$F$1792))
    ) &gt; 0
))</f>
        <v>9</v>
      </c>
    </row>
    <row r="95" spans="2:12">
      <c r="C95" t="s">
        <v>263</v>
      </c>
      <c r="D95" s="216" t="e" cm="1">
        <f t="array" ref="D95">SUMPRODUCT(
    --((ISNUMBER(SEARCH("K,", 'Inventory - Public Private FMS'!$H$165:$H$1792)) +
        ISNUMBER(SEARCH("K", 'Inventory - Public Private FMS'!$H$165:$H$1792))) &gt; 0),
    --(ISNUMBER(SEARCH("EU", 'Inventory - Public Private FMS'!#REF!)))
)</f>
        <v>#VALUE!</v>
      </c>
      <c r="E95" s="218" t="e" cm="1">
        <f t="array" ref="E95">SUMPRODUCT(
    --((ISNUMBER(SEARCH("K,", 'Inventory - Public Private FMS'!$H$165:$H$1792))) +
      (ISNUMBER(SEARCH("K",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95" s="218" t="e" cm="1">
        <f t="array" ref="F95">SUMPRODUCT(
    --((ISNUMBER(SEARCH("K,", 'Inventory - Public Private FMS'!$H$165:$H$1792))) +
      (ISNUMBER(SEARCH("K",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95" s="218" t="e" cm="1">
        <f t="array" ref="G95">SUMPRODUCT(
    --((ISNUMBER(SEARCH("K,", 'Inventory - Public Private FMS'!$H$165:$H$1792))) +
      (ISNUMBER(SEARCH("K",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95" s="218" t="e" cm="1">
        <f t="array" ref="H95">SUMPRODUCT(
    --((ISNUMBER(SEARCH("K,", 'Inventory - Public Private FMS'!$H$165:$H$1792))) +
      (ISNUMBER(SEARCH("K",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95" s="218" t="e" cm="1">
        <f t="array" ref="I95">SUMPRODUCT(
    --((ISNUMBER(SEARCH("K,", 'Inventory - Public Private FMS'!$H$165:$H$1792))) +
      (ISNUMBER(SEARCH("K",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95" s="218" t="e" cm="1">
        <f t="array" ref="J95">SUMPRODUCT(
    --((ISNUMBER(SEARCH("K,", 'Inventory - Public Private FMS'!$H$165:$H$1792))) +
      (ISNUMBER(SEARCH("K", 'Inventory - Public Private FMS'!$H$165:$H$1792))) &gt; 0),
    --(ISNUMBER(SEARCH("EU", 'Inventory - Public Private FMS'!#REF!))),
    --(
        (ISNUMBER(SEARCH("Eggs", 'Inventory - Public Private FMS'!$F$165:$F$1792))) +
        (ISNUMBER(SEARCH("All food commodities", 'Inventory - Public Private FMS'!$F$165:$F$1792))
    ) &gt; 0))</f>
        <v>#VALUE!</v>
      </c>
      <c r="K95" s="218" t="e" cm="1">
        <f t="array" ref="K95">SUMPRODUCT(
    --((ISNUMBER(SEARCH("K,", 'Inventory - Public Private FMS'!$H$165:$H$1792))) +
      (ISNUMBER(SEARCH("K",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95" s="218" t="e" cm="1">
        <f t="array" ref="L95">SUMPRODUCT(
    --((ISNUMBER(SEARCH("K,", 'Inventory - Public Private FMS'!$H$165:$H$1792))) +
      (ISNUMBER(SEARCH("K", 'Inventory - Public Private FMS'!$H$165:$H$1792))) &gt; 0),
    --(ISNUMBER(SEARCH("EU", 'Inventory - Public Private FMS'!#REF!))),
    --(
        (ISNUMBER(SEARCH("Cereals", 'Inventory - Public Private FMS'!$F$165:$F$1792))) +
        (ISNUMBER(SEARCH("All food commodities", 'Inventory - Public Private FMS'!$F$165:$F$1792))
    ) &gt; 0
))</f>
        <v>#VALUE!</v>
      </c>
    </row>
    <row r="96" spans="2:12">
      <c r="C96" t="s">
        <v>3928</v>
      </c>
      <c r="D96" s="216" t="e" cm="1">
        <f t="array" ref="D96">SUMPRODUCT(
    --((ISNUMBER(SEARCH("K,", 'Inventory - Public Private FMS'!$H$165:$H$1792)) +
        ISNUMBER(SEARCH("K", 'Inventory - Public Private FMS'!$H$165:$H$1792))) &gt; 0),
    --(ISNUMBER(SEARCH("OECD", 'Inventory - Public Private FMS'!#REF!)))
)</f>
        <v>#VALUE!</v>
      </c>
      <c r="E96" s="218" t="e" cm="1">
        <f t="array" ref="E96">SUMPRODUCT(
    --((ISNUMBER(SEARCH("K,", 'Inventory - Public Private FMS'!$H$165:$H$1792))) +
      (ISNUMBER(SEARCH("K",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96" s="218" t="e" cm="1">
        <f t="array" ref="F96">SUMPRODUCT(
    --((ISNUMBER(SEARCH("K,", 'Inventory - Public Private FMS'!$H$165:$H$1792))) +
      (ISNUMBER(SEARCH("K",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96" s="218" t="e" cm="1">
        <f t="array" ref="G96">SUMPRODUCT(
    --((ISNUMBER(SEARCH("K,", 'Inventory - Public Private FMS'!$H$165:$H$1792))) +
      (ISNUMBER(SEARCH("K",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96" s="218" t="e" cm="1">
        <f t="array" ref="H96">SUMPRODUCT(
    --((ISNUMBER(SEARCH("K,", 'Inventory - Public Private FMS'!$H$165:$H$1792))) +
      (ISNUMBER(SEARCH("K",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96" s="218" t="e" cm="1">
        <f t="array" ref="I96">SUMPRODUCT(
    --((ISNUMBER(SEARCH("K,", 'Inventory - Public Private FMS'!$H$165:$H$1792))) +
      (ISNUMBER(SEARCH("K",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96" s="218" t="e" cm="1">
        <f t="array" ref="J96">SUMPRODUCT(
    --((ISNUMBER(SEARCH("K,", 'Inventory - Public Private FMS'!$H$165:$H$1792))) +
      (ISNUMBER(SEARCH("K", 'Inventory - Public Private FMS'!$H$165:$H$1792))) &gt; 0),
    --(ISNUMBER(SEARCH("OECD", 'Inventory - Public Private FMS'!#REF!))),
    --(
        (ISNUMBER(SEARCH("Eggs", 'Inventory - Public Private FMS'!$F$165:$F$1792))) +
        (ISNUMBER(SEARCH("All food commodities", 'Inventory - Public Private FMS'!$F$165:$F$1792))
    ) &gt; 0
))</f>
        <v>#VALUE!</v>
      </c>
      <c r="K96" s="218" t="e" cm="1">
        <f t="array" ref="K96">SUMPRODUCT(
    --((ISNUMBER(SEARCH("K,", 'Inventory - Public Private FMS'!$H$165:$H$1792))) +
      (ISNUMBER(SEARCH("K",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96" s="218" t="e" cm="1">
        <f t="array" ref="L96">SUMPRODUCT(
    --((ISNUMBER(SEARCH("K,", 'Inventory - Public Private FMS'!$H$165:$H$1792))) +
      (ISNUMBER(SEARCH("K", 'Inventory - Public Private FMS'!$H$165:$H$1792))) &gt; 0),
    --(ISNUMBER(SEARCH("OECD", 'Inventory - Public Private FMS'!#REF!))),
    --(
        (ISNUMBER(SEARCH("Cereals", 'Inventory - Public Private FMS'!$F$165:$F$1792))) +
        (ISNUMBER(SEARCH("All food commodities", 'Inventory - Public Private FMS'!$F$165:$F$1792))
    ) &gt; 0
))</f>
        <v>#VALUE!</v>
      </c>
    </row>
    <row r="97" spans="2:12">
      <c r="C97" t="s">
        <v>3926</v>
      </c>
      <c r="D97" s="216" t="e" cm="1">
        <f t="array" ref="D97">SUMPRODUCT(
    --((ISNUMBER(SEARCH("K,", 'Inventory - Public Private FMS'!$H$165:$H$1792)) +
        ISNUMBER(SEARCH("K", 'Inventory - Public Private FMS'!$H$165:$H$1792))) &gt; 0),
    --(ISNUMBER(SEARCH("UNECE", 'Inventory - Public Private FMS'!#REF!)))
)</f>
        <v>#VALUE!</v>
      </c>
      <c r="E97" s="218" t="e" cm="1">
        <f t="array" ref="E97">SUMPRODUCT(
    --((ISNUMBER(SEARCH("K,", 'Inventory - Public Private FMS'!$H$165:$H$1792))) +
      (ISNUMBER(SEARCH("K",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97" s="218" t="e" cm="1">
        <f t="array" ref="F97">SUMPRODUCT(
    --((ISNUMBER(SEARCH("K,", 'Inventory - Public Private FMS'!$H$165:$H$1792))) +
      (ISNUMBER(SEARCH("K",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97" s="218" t="e" cm="1">
        <f t="array" ref="G97">SUMPRODUCT(
    --((ISNUMBER(SEARCH("K,", 'Inventory - Public Private FMS'!$H$165:$H$1792))) +
      (ISNUMBER(SEARCH("K",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97" s="218" t="e" cm="1">
        <f t="array" ref="H97">SUMPRODUCT(
    --((ISNUMBER(SEARCH("K,", 'Inventory - Public Private FMS'!$H$165:$H$1792))) +
      (ISNUMBER(SEARCH("K",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97" s="218" t="e" cm="1">
        <f t="array" ref="I97">SUMPRODUCT(
    --((ISNUMBER(SEARCH("K,", 'Inventory - Public Private FMS'!$H$165:$H$1792))) +
      (ISNUMBER(SEARCH("K",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97" s="218" t="e" cm="1">
        <f t="array" ref="J97">SUMPRODUCT(
    --((ISNUMBER(SEARCH("K,", 'Inventory - Public Private FMS'!$H$165:$H$1792))) +
      (ISNUMBER(SEARCH("K", 'Inventory - Public Private FMS'!$H$165:$H$1792))) &gt; 0),
    --(ISNUMBER(SEARCH("UNECE", 'Inventory - Public Private FMS'!#REF!))),
     --(
        (ISNUMBER(SEARCH("Eggs", 'Inventory - Public Private FMS'!$F$165:$F$1792))) +
        (ISNUMBER(SEARCH("All food commodities", 'Inventory - Public Private FMS'!$F$165:$F$1792))
    ) &gt; 0
))</f>
        <v>#VALUE!</v>
      </c>
      <c r="K97" s="218" t="e" cm="1">
        <f t="array" ref="K97">SUMPRODUCT(
    --((ISNUMBER(SEARCH("K,", 'Inventory - Public Private FMS'!$H$165:$H$1792))) +
      (ISNUMBER(SEARCH("K",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97" s="218" t="e" cm="1">
        <f t="array" ref="L97">SUMPRODUCT(
    --((ISNUMBER(SEARCH("K,", 'Inventory - Public Private FMS'!$H$165:$H$1792))) +
      (ISNUMBER(SEARCH("K", 'Inventory - Public Private FMS'!$H$165:$H$1792))) &gt; 0),
    --(ISNUMBER(SEARCH("UNECE", 'Inventory - Public Private FMS'!#REF!))),
    --(
        (ISNUMBER(SEARCH("Cereals", 'Inventory - Public Private FMS'!$F$165:$F$1792))) +
        (ISNUMBER(SEARCH("All food commodities", 'Inventory - Public Private FMS'!$F$165:$F$1792))
    ) &gt; 0
))</f>
        <v>#VALUE!</v>
      </c>
    </row>
    <row r="98" spans="2:12">
      <c r="C98" t="s">
        <v>3930</v>
      </c>
      <c r="D98" s="216" t="e" cm="1">
        <f t="array" ref="D98">SUMPRODUCT(
    --((ISNUMBER(SEARCH("K,", 'Inventory - Public Private FMS'!$H$165:$H$1792)) +
        ISNUMBER(SEARCH("K", 'Inventory - Public Private FMS'!$H$165:$H$1792))) &gt; 0),
    --(ISNUMBER(SEARCH("Codex Alimentarius", 'Inventory - Public Private FMS'!#REF!)))
)</f>
        <v>#VALUE!</v>
      </c>
      <c r="E98" s="218" t="e" cm="1">
        <f t="array" ref="E98">SUMPRODUCT(
    --((ISNUMBER(SEARCH("K,", 'Inventory - Public Private FMS'!$H$165:$H$1792))) +
      (ISNUMBER(SEARCH("K",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98" s="218" t="e" cm="1">
        <f t="array" ref="F98">SUMPRODUCT(
    --((ISNUMBER(SEARCH("K,", 'Inventory - Public Private FMS'!$H$165:$H$1792))) +
      (ISNUMBER(SEARCH("K",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98" s="218" t="e" cm="1">
        <f t="array" ref="G98">SUMPRODUCT(
    --((ISNUMBER(SEARCH("K,", 'Inventory - Public Private FMS'!$H$165:$H$1792))) +
      (ISNUMBER(SEARCH("K",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98" s="218" t="e" cm="1">
        <f t="array" ref="H98">SUMPRODUCT(
    --((ISNUMBER(SEARCH("K,", 'Inventory - Public Private FMS'!$H$165:$H$1792))) +
      (ISNUMBER(SEARCH("K",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98" s="218" t="e" cm="1">
        <f t="array" ref="I98">SUMPRODUCT(
    --((ISNUMBER(SEARCH("K,", 'Inventory - Public Private FMS'!$H$165:$H$1792))) +
      (ISNUMBER(SEARCH("K",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98" s="218" t="e" cm="1">
        <f t="array" ref="J98">SUMPRODUCT(
    --((ISNUMBER(SEARCH("K,", 'Inventory - Public Private FMS'!$H$165:$H$1792))) +
      (ISNUMBER(SEARCH("K", 'Inventory - Public Private FMS'!$H$165:$H$1792))) &gt; 0),
    --(ISNUMBER(SEARCH("Codex Alimentarius", 'Inventory - Public Private FMS'!#REF!))),
    --(
        (ISNUMBER(SEARCH("Eggs", 'Inventory - Public Private FMS'!$F$165:$F$1792))) +
        (ISNUMBER(SEARCH("All food commodities", 'Inventory - Public Private FMS'!$F$165:$F$1792))
    ) &gt; 0
))</f>
        <v>#VALUE!</v>
      </c>
      <c r="K98" s="218" t="e" cm="1">
        <f t="array" ref="K98">SUMPRODUCT(
    --((ISNUMBER(SEARCH("K,", 'Inventory - Public Private FMS'!$H$165:$H$1792))) +
      (ISNUMBER(SEARCH("K",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98" s="218" t="e" cm="1">
        <f t="array" ref="L98">SUMPRODUCT(
    --((ISNUMBER(SEARCH("K,", 'Inventory - Public Private FMS'!$H$165:$H$1792))) +
      (ISNUMBER(SEARCH("K", 'Inventory - Public Private FMS'!$H$165:$H$1792))) &gt; 0),
    --(ISNUMBER(SEARCH("Codex Alimentarius", 'Inventory - Public Private FMS'!#REF!))),
    --(
        (ISNUMBER(SEARCH("Cereals", 'Inventory - Public Private FMS'!$F$165:$F$1792))) +
        (ISNUMBER(SEARCH("All food commodities", 'Inventory - Public Private FMS'!$F$165:$F$1792))
    ) &gt; 0
))</f>
        <v>#VALUE!</v>
      </c>
    </row>
    <row r="99" spans="2:12" hidden="1">
      <c r="C99" t="s">
        <v>2405</v>
      </c>
      <c r="D99" s="216" cm="1">
        <f t="array" ref="D99">SUMPRODUCT(
    --((ISNUMBER(SEARCH("K,", 'Inventory - Public Private FMS'!$H$165:$H$1792)) +
        ISNUMBER(SEARCH("K", 'Inventory - Public Private FMS'!$H$165:$H$1792))) &gt; 0),
    --(ISNUMBER(SEARCH("Label Rouge", 'Inventory - Public Private FMS'!$P$165:$P$1792)))
)</f>
        <v>0</v>
      </c>
      <c r="E99" s="218" cm="1">
        <f t="array" ref="E99">SUMPRODUCT(
    --((ISNUMBER(SEARCH("K,", 'Inventory - Public Private FMS'!$H$165:$H$1792))) +
      (ISNUMBER(SEARCH("K",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0</v>
      </c>
      <c r="F99" s="218" cm="1">
        <f t="array" ref="F99">SUMPRODUCT(
    --((ISNUMBER(SEARCH("K,", 'Inventory - Public Private FMS'!$H$165:$H$1792))) +
      (ISNUMBER(SEARCH("K",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0</v>
      </c>
      <c r="G99" s="218" cm="1">
        <f t="array" ref="G99">SUMPRODUCT(
    --((ISNUMBER(SEARCH("K,", 'Inventory - Public Private FMS'!$H$165:$H$1792))) +
      (ISNUMBER(SEARCH("K",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0</v>
      </c>
      <c r="H99" s="218" cm="1">
        <f t="array" ref="H99">SUMPRODUCT(
    --((ISNUMBER(SEARCH("K,", 'Inventory - Public Private FMS'!$H$165:$H$1792))) +
      (ISNUMBER(SEARCH("K",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0</v>
      </c>
      <c r="I99" s="218" cm="1">
        <f t="array" ref="I99">SUMPRODUCT(
    --((ISNUMBER(SEARCH("K,", 'Inventory - Public Private FMS'!$H$165:$H$1792))) +
      (ISNUMBER(SEARCH("K",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99" s="218" cm="1">
        <f t="array" ref="J99">SUMPRODUCT(
    --((ISNUMBER(SEARCH("K,", 'Inventory - Public Private FMS'!$H$165:$H$1792))) +
      (ISNUMBER(SEARCH("K", 'Inventory - Public Private FMS'!$H$165:$H$1792))) &gt; 0),
    --(ISNUMBER(SEARCH("Label Rouge", 'Inventory - Public Private FMS'!$P$165:$P$1792))),
    --(
        (ISNUMBER(SEARCH("Eggs", 'Inventory - Public Private FMS'!$F$165:$F$1792))) +
        (ISNUMBER(SEARCH("All food commodities", 'Inventory - Public Private FMS'!$F$165:$F$1792))
    ) &gt; 0
))</f>
        <v>0</v>
      </c>
      <c r="K99" s="218" cm="1">
        <f t="array" ref="K99">SUMPRODUCT(
    --((ISNUMBER(SEARCH("K,", 'Inventory - Public Private FMS'!$H$165:$H$1792))) +
      (ISNUMBER(SEARCH("K",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0</v>
      </c>
      <c r="L99" s="218" cm="1">
        <f t="array" ref="L99">SUMPRODUCT(
    --((ISNUMBER(SEARCH("K,", 'Inventory - Public Private FMS'!$H$165:$H$1792))) +
      (ISNUMBER(SEARCH("K", 'Inventory - Public Private FMS'!$H$165:$H$1792))) &gt; 0),
    --(ISNUMBER(SEARCH("Label Rouge", 'Inventory - Public Private FMS'!$P$165:$P$1792))),
    --(
        (ISNUMBER(SEARCH("Cereals", 'Inventory - Public Private FMS'!$F$165:$F$1792))) +
        (ISNUMBER(SEARCH("All food commodities", 'Inventory - Public Private FMS'!$F$165:$F$1792))
    ) &gt; 0
))</f>
        <v>0</v>
      </c>
    </row>
    <row r="100" spans="2:12">
      <c r="C100" t="s">
        <v>3964</v>
      </c>
      <c r="D100" s="216" t="e" cm="1">
        <f t="array" ref="D100">SUMPRODUCT(
    --((ISNUMBER(SEARCH("K,", 'Inventory - Public Private FMS'!$H$165:$H$1792)) +
        ISNUMBER(SEARCH("K",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100" s="283" t="e" cm="1">
        <f t="array" ref="E100">SUMPRODUCT(
    --((ISNUMBER(SEARCH("K,", 'Inventory - Public Private FMS'!$H$165:$H$1792)) +
        ISNUMBER(SEARCH("K",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100" s="283" t="e" cm="1">
        <f t="array" ref="F100">SUMPRODUCT(
--((ISNUMBER(SEARCH("K,",'Inventory - Public Private FMS'!$H$165:$H$1792))+
ISNUMBER(SEARCH("K",'Inventory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100" s="283" t="e" cm="1">
        <f t="array" ref="G100">SUMPRODUCT(
--((ISNUMBER(SEARCH("K,",'Inventory - Public Private FMS'!$H$165:$H$1792))+
ISNUMBER(SEARCH("K",'Inventory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00" s="283" t="e" cm="1">
        <f t="array" ref="H100">SUMPRODUCT(
--((ISNUMBER(SEARCH("K,",'Inventory - Public Private FMS'!$H$165:$H$1792))+
ISNUMBER(SEARCH("K",'Inventory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100" s="283" t="e" cm="1">
        <f t="array" ref="I100">SUMPRODUCT(
--((ISNUMBER(SEARCH("K,",'Inventory - Public Private FMS'!$H$165:$H$1792))+
ISNUMBER(SEARCH("K",'Inventory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100" s="283" t="e" cm="1">
        <f t="array" ref="J100">SUMPRODUCT(
    --((ISNUMBER(SEARCH("K,", 'Inventory - Public Private FMS'!$H$165:$H$1792)) +
        ISNUMBER(SEARCH("K",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100" s="283" t="e" cm="1">
        <f t="array" ref="K100">SUMPRODUCT(
    --((ISNUMBER(SEARCH("K,", 'Inventory - Public Private FMS'!$H$165:$H$1792)) +
        ISNUMBER(SEARCH("K",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100" s="283" t="e" cm="1">
        <f t="array" ref="L100">SUMPRODUCT(
    --((ISNUMBER(SEARCH("K,", 'Inventory - Public Private FMS'!$H$165:$H$1792)) +
        ISNUMBER(SEARCH("K",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101" spans="2:12">
      <c r="C101" t="s">
        <v>3965</v>
      </c>
      <c r="D101" s="216" cm="1">
        <f t="array" ref="D101">SUMPRODUCT(
    --((ISNUMBER(SEARCH("K,", 'Inventory - Public Private FMS'!$H$165:$H$1792)) +
        ISNUMBER(SEARCH("K", 'Inventory - Public Private FMS'!$H$165:$H$1792))) &gt; 0),
    --(ISNUMBER(SEARCH("Private", 'Inventory - Public Private FMS'!$L$165:$L$1792)))
)</f>
        <v>0</v>
      </c>
      <c r="E101" s="218" cm="1">
        <f t="array" ref="E101">SUMPRODUCT(
    --((ISNUMBER(SEARCH("K,", 'Inventory - Public Private FMS'!$H$165:$H$1792))) +
      (ISNUMBER(SEARCH("K",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101" s="218" cm="1">
        <f t="array" ref="F101">SUMPRODUCT(
    --((ISNUMBER(SEARCH("K,", 'Inventory - Public Private FMS'!$H$165:$H$1792))) +
      (ISNUMBER(SEARCH("K",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101" s="218" cm="1">
        <f t="array" ref="G101">SUMPRODUCT(
    --((ISNUMBER(SEARCH("K,", 'Inventory - Public Private FMS'!$H$165:$H$1792))) +
      (ISNUMBER(SEARCH("K",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101" s="218" cm="1">
        <f t="array" ref="H101">SUMPRODUCT(
    --((ISNUMBER(SEARCH("K,", 'Inventory - Public Private FMS'!$H$165:$H$1792))) +
      (ISNUMBER(SEARCH("K",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101" s="218" cm="1">
        <f t="array" ref="I101">SUMPRODUCT(
    --((ISNUMBER(SEARCH("K,", 'Inventory - Public Private FMS'!$H$165:$H$1792))) +
      (ISNUMBER(SEARCH("K",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101" s="218" cm="1">
        <f t="array" ref="J101">SUMPRODUCT(
    --((ISNUMBER(SEARCH("K,", 'Inventory - Public Private FMS'!$H$165:$H$1792))) +
      (ISNUMBER(SEARCH("K", 'Inventory - Public Private FMS'!$H$165:$H$1792))) &gt; 0),
    --(ISNUMBER(SEARCH("Private", 'Inventory - Public Private FMS'!$L$165:$L$1792))),
    --(
        (ISNUMBER(SEARCH("Eggs", 'Inventory - Public Private FMS'!$F$165:$F$1792))) +
        (ISNUMBER(SEARCH("All food commodities", 'Inventory - Public Private FMS'!$F$165:$F$1792))
    ) &gt; 0
))</f>
        <v>0</v>
      </c>
      <c r="K101" s="218" cm="1">
        <f t="array" ref="K101">SUMPRODUCT(
    --((ISNUMBER(SEARCH("K,", 'Inventory - Public Private FMS'!$H$165:$H$1792))) +
      (ISNUMBER(SEARCH("K",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101" s="218" cm="1">
        <f t="array" ref="L101">SUMPRODUCT(
    --((ISNUMBER(SEARCH("K,", 'Inventory - Public Private FMS'!$H$165:$H$1792))) +
      (ISNUMBER(SEARCH("K", 'Inventory - Public Private FMS'!$H$165:$H$1792))) &gt; 0),
    --(ISNUMBER(SEARCH("Private", 'Inventory - Public Private FMS'!$L$165:$L$1792))),
    --(
        (ISNUMBER(SEARCH("Cereals", 'Inventory - Public Private FMS'!$F$165:$F$1792))) +
        (ISNUMBER(SEARCH("All food commodities", 'Inventory - Public Private FMS'!$F$165:$F$1792))
    ) &gt; 0
))</f>
        <v>0</v>
      </c>
    </row>
    <row r="102" spans="2:12">
      <c r="B102" s="280" t="s">
        <v>3176</v>
      </c>
      <c r="C102" s="280" t="s">
        <v>3962</v>
      </c>
      <c r="D102" s="216" cm="1">
        <f t="array" ref="D102">SUMPRODUCT(
--((ISNUMBER(SEARCH("L,",'Inventory - Public Private FMS'!$H$165:$H$1792)))+
(ISNUMBER(SEARCH("L",'Inventory - Public Private FMS'!$H$165:$H$1792)))&gt;0))</f>
        <v>1</v>
      </c>
      <c r="E102" s="218" cm="1">
        <f t="array" ref="E102">SUMPRODUCT(
    --((ISNUMBER(SEARCH("L,", 'Inventory - Public Private FMS'!$H$165:$H$1792))) +
      (ISNUMBER(SEARCH("L", 'Inventory - Public Private FMS'!$H$165:$H$1792))) &gt; 0),
    --(
        (ISNUMBER(SEARCH("Fruits", 'Inventory - Public Private FMS'!$F$165:$F$1792))) +
        (ISNUMBER(SEARCH("Vegetables", 'Inventory - Public Private FMS'!$F$165:$F$1792))) +
        (ISNUMBER(SEARCH("All food commodities", 'Inventory - Public Private FMS'!$F$165:$F$1792))
    ) &gt; 0
))</f>
        <v>0</v>
      </c>
      <c r="F102" s="218" cm="1">
        <f t="array" ref="F102">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0</v>
      </c>
      <c r="G102" s="218" cm="1">
        <f t="array" ref="G102">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0</v>
      </c>
      <c r="H102" s="218" cm="1">
        <f t="array" ref="H102">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0</v>
      </c>
      <c r="I102" s="218" cm="1">
        <f t="array" ref="I102">SUMPRODUCT(
    --((ISNUMBER(SEARCH("L,", 'Inventory - Public Private FMS'!$H$165:$H$1792))) +
      (ISNUMBER(SEARCH("L",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102" s="218" cm="1">
        <f t="array" ref="J102">SUMPRODUCT(
    --((ISNUMBER(SEARCH("L,", 'Inventory - Public Private FMS'!$H$165:$H$1792))) +
      (ISNUMBER(SEARCH("L", 'Inventory - Public Private FMS'!$H$165:$H$1792))) &gt; 0),
    --(
        (ISNUMBER(SEARCH("Eggs", 'Inventory - Public Private FMS'!$F$165:$F$1792))) +
        (ISNUMBER(SEARCH("All food commodities", 'Inventory - Public Private FMS'!$F$165:$F$1792))
    ) &gt; 0
))</f>
        <v>0</v>
      </c>
      <c r="K102" s="218" cm="1">
        <f t="array" ref="K102">SUMPRODUCT(
    --((ISNUMBER(SEARCH("L,", 'Inventory - Public Private FMS'!$H$165:$H$1792))) +
      (ISNUMBER(SEARCH("L", 'Inventory - Public Private FMS'!$H$165:$H$1792))) &gt; 0),
    --(
        (ISNUMBER(SEARCH("Fish", 'Inventory - Public Private FMS'!$F$165:$F$1792))) +
        (ISNUMBER(SEARCH("Aquaculture", 'Inventory - Public Private FMS'!$F$165:$F$1792))) +
        (ISNUMBER(SEARCH("All food commodities", 'Inventory - Public Private FMS'!$F$165:$F$1792))
    ) &gt; 0
))</f>
        <v>1</v>
      </c>
      <c r="L102" s="218" cm="1">
        <f t="array" ref="L102">SUMPRODUCT(
    --((ISNUMBER(SEARCH("L,", 'Inventory - Public Private FMS'!$H$165:$H$1792))) +
      (ISNUMBER(SEARCH("L", 'Inventory - Public Private FMS'!$H$165:$H$1792))) &gt; 0),
    --(
        (ISNUMBER(SEARCH("Cereals", 'Inventory - Public Private FMS'!$F$165:$F$1792))) +
        (ISNUMBER(SEARCH("All food commodities", 'Inventory - Public Private FMS'!$F$165:$F$1792))
    ) &gt; 0
))</f>
        <v>0</v>
      </c>
    </row>
    <row r="103" spans="2:12">
      <c r="C103" t="s">
        <v>263</v>
      </c>
      <c r="D103" s="216" t="e" cm="1">
        <f t="array" ref="D103">SUMPRODUCT(
    --((ISNUMBER(SEARCH("L,", 'Inventory - Public Private FMS'!$H$165:$H$1792)) +
        ISNUMBER(SEARCH("L", 'Inventory - Public Private FMS'!$H$165:$H$1792))) &gt; 0),
    --(ISNUMBER(SEARCH("EU", 'Inventory - Public Private FMS'!#REF!)))
)</f>
        <v>#VALUE!</v>
      </c>
      <c r="E103" s="218" t="e" cm="1">
        <f t="array" ref="E103">SUMPRODUCT(
    --((ISNUMBER(SEARCH("L,", 'Inventory - Public Private FMS'!$H$165:$H$1792))) +
      (ISNUMBER(SEARCH("L",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103" s="218" t="e" cm="1">
        <f t="array" ref="F103">SUMPRODUCT(
    --((ISNUMBER(SEARCH("L,", 'Inventory - Public Private FMS'!$H$165:$H$1792))) +
      (ISNUMBER(SEARCH("L",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03" s="218" t="e" cm="1">
        <f t="array" ref="G103">SUMPRODUCT(
    --((ISNUMBER(SEARCH("L,", 'Inventory - Public Private FMS'!$H$165:$H$1792))) +
      (ISNUMBER(SEARCH("L",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03" s="218" t="e" cm="1">
        <f t="array" ref="H103">SUMPRODUCT(
    --((ISNUMBER(SEARCH("L,", 'Inventory - Public Private FMS'!$H$165:$H$1792))) +
      (ISNUMBER(SEARCH("L",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03" s="218" t="e" cm="1">
        <f t="array" ref="I103">SUMPRODUCT(
    --((ISNUMBER(SEARCH("L,", 'Inventory - Public Private FMS'!$H$165:$H$1792))) +
      (ISNUMBER(SEARCH("L",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03" s="218" t="e" cm="1">
        <f t="array" ref="J103">SUMPRODUCT(
    --((ISNUMBER(SEARCH("L,", 'Inventory - Public Private FMS'!$H$165:$H$1792))) +
      (ISNUMBER(SEARCH("L", 'Inventory - Public Private FMS'!$H$165:$H$1792))) &gt; 0),
    --(ISNUMBER(SEARCH("EU", 'Inventory - Public Private FMS'!#REF!))),
    --(
        (ISNUMBER(SEARCH("Eggs", 'Inventory - Public Private FMS'!$F$165:$F$1792))) +
        (ISNUMBER(SEARCH("All food commodities", 'Inventory - Public Private FMS'!$F$165:$F$1792))
    ) &gt; 0))</f>
        <v>#VALUE!</v>
      </c>
      <c r="K103" s="218" t="e" cm="1">
        <f t="array" ref="K103">SUMPRODUCT(
    --((ISNUMBER(SEARCH("L,", 'Inventory - Public Private FMS'!$H$165:$H$1792))) +
      (ISNUMBER(SEARCH("L",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103" s="218" t="e" cm="1">
        <f t="array" ref="L103">SUMPRODUCT(
    --((ISNUMBER(SEARCH("L,", 'Inventory - Public Private FMS'!$H$165:$H$1792))) +
      (ISNUMBER(SEARCH("L", 'Inventory - Public Private FMS'!$H$165:$H$1792))) &gt; 0),
    --(ISNUMBER(SEARCH("EU", 'Inventory - Public Private FMS'!#REF!))),
    --(
        (ISNUMBER(SEARCH("Cereals", 'Inventory - Public Private FMS'!$F$165:$F$1792))) +
        (ISNUMBER(SEARCH("All food commodities", 'Inventory - Public Private FMS'!$F$165:$F$1792))
    ) &gt; 0
))</f>
        <v>#VALUE!</v>
      </c>
    </row>
    <row r="104" spans="2:12">
      <c r="C104" t="s">
        <v>3928</v>
      </c>
      <c r="D104" s="216" t="e" cm="1">
        <f t="array" ref="D104">SUMPRODUCT(
    --((ISNUMBER(SEARCH("L,", 'Inventory - Public Private FMS'!$H$165:$H$1792)) +
        ISNUMBER(SEARCH("L", 'Inventory - Public Private FMS'!$H$165:$H$1792))) &gt; 0),
    --(ISNUMBER(SEARCH("OECD", 'Inventory - Public Private FMS'!#REF!)))
)</f>
        <v>#VALUE!</v>
      </c>
      <c r="E104" s="218" t="e" cm="1">
        <f t="array" ref="E104">SUMPRODUCT(
    --((ISNUMBER(SEARCH("L,", 'Inventory - Public Private FMS'!$H$165:$H$1792))) +
      (ISNUMBER(SEARCH("L",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104" s="218" t="e" cm="1">
        <f t="array" ref="F104">SUMPRODUCT(
    --((ISNUMBER(SEARCH("L,", 'Inventory - Public Private FMS'!$H$165:$H$1792))) +
      (ISNUMBER(SEARCH("L",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04" s="218" t="e" cm="1">
        <f t="array" ref="G104">SUMPRODUCT(
    --((ISNUMBER(SEARCH("L,", 'Inventory - Public Private FMS'!$H$165:$H$1792))) +
      (ISNUMBER(SEARCH("L",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04" s="218" t="e" cm="1">
        <f t="array" ref="H104">SUMPRODUCT(
    --((ISNUMBER(SEARCH("L,", 'Inventory - Public Private FMS'!$H$165:$H$1792))) +
      (ISNUMBER(SEARCH("L",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04" s="218" t="e" cm="1">
        <f t="array" ref="I104">SUMPRODUCT(
    --((ISNUMBER(SEARCH("L,", 'Inventory - Public Private FMS'!$H$165:$H$1792))) +
      (ISNUMBER(SEARCH("L",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04" s="218" t="e" cm="1">
        <f t="array" ref="J104">SUMPRODUCT(
    --((ISNUMBER(SEARCH("L,", 'Inventory - Public Private FMS'!$H$165:$H$1792))) +
      (ISNUMBER(SEARCH("L", 'Inventory - Public Private FMS'!$H$165:$H$1792))) &gt; 0),
    --(ISNUMBER(SEARCH("OECD", 'Inventory - Public Private FMS'!#REF!))),
    --(
        (ISNUMBER(SEARCH("Eggs", 'Inventory - Public Private FMS'!$F$165:$F$1792))) +
        (ISNUMBER(SEARCH("All food commodities", 'Inventory - Public Private FMS'!$F$165:$F$1792))
    ) &gt; 0
))</f>
        <v>#VALUE!</v>
      </c>
      <c r="K104" s="218" t="e" cm="1">
        <f t="array" ref="K104">SUMPRODUCT(
    --((ISNUMBER(SEARCH("L,", 'Inventory - Public Private FMS'!$H$165:$H$1792))) +
      (ISNUMBER(SEARCH("L",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104" s="218" t="e" cm="1">
        <f t="array" ref="L104">SUMPRODUCT(
    --((ISNUMBER(SEARCH("L,", 'Inventory - Public Private FMS'!$H$165:$H$1792))) +
      (ISNUMBER(SEARCH("L", 'Inventory - Public Private FMS'!$H$165:$H$1792))) &gt; 0),
    --(ISNUMBER(SEARCH("OECD", 'Inventory - Public Private FMS'!#REF!))),
    --(
        (ISNUMBER(SEARCH("Cereals", 'Inventory - Public Private FMS'!$F$165:$F$1792))) +
        (ISNUMBER(SEARCH("All food commodities", 'Inventory - Public Private FMS'!$F$165:$F$1792))
    ) &gt; 0
))</f>
        <v>#VALUE!</v>
      </c>
    </row>
    <row r="105" spans="2:12">
      <c r="C105" t="s">
        <v>3926</v>
      </c>
      <c r="D105" s="216" t="e" cm="1">
        <f t="array" ref="D105">SUMPRODUCT(
    --((ISNUMBER(SEARCH("L,", 'Inventory - Public Private FMS'!$H$165:$H$1792)) +
        ISNUMBER(SEARCH("L", 'Inventory - Public Private FMS'!$H$165:$H$1792))) &gt; 0),
    --(ISNUMBER(SEARCH("UNECE", 'Inventory - Public Private FMS'!#REF!)))
)</f>
        <v>#VALUE!</v>
      </c>
      <c r="E105" s="218" t="e" cm="1">
        <f t="array" ref="E105">SUMPRODUCT(
    --((ISNUMBER(SEARCH("L,", 'Inventory - Public Private FMS'!$H$165:$H$1792))) +
      (ISNUMBER(SEARCH("L",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105" s="218" t="e" cm="1">
        <f t="array" ref="F105">SUMPRODUCT(
    --((ISNUMBER(SEARCH("L,", 'Inventory - Public Private FMS'!$H$165:$H$1792))) +
      (ISNUMBER(SEARCH("L",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05" s="218" t="e" cm="1">
        <f t="array" ref="G105">SUMPRODUCT(
    --((ISNUMBER(SEARCH("L,", 'Inventory - Public Private FMS'!$H$165:$H$1792))) +
      (ISNUMBER(SEARCH("L",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05" s="218" t="e" cm="1">
        <f t="array" ref="H105">SUMPRODUCT(
    --((ISNUMBER(SEARCH("L,", 'Inventory - Public Private FMS'!$H$165:$H$1792))) +
      (ISNUMBER(SEARCH("L",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05" s="218" t="e" cm="1">
        <f t="array" ref="I105">SUMPRODUCT(
    --((ISNUMBER(SEARCH("L,", 'Inventory - Public Private FMS'!$H$165:$H$1792))) +
      (ISNUMBER(SEARCH("L",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05" s="218" t="e" cm="1">
        <f t="array" ref="J105">SUMPRODUCT(
    --((ISNUMBER(SEARCH("L,", 'Inventory - Public Private FMS'!$H$165:$H$1792))) +
      (ISNUMBER(SEARCH("L", 'Inventory - Public Private FMS'!$H$165:$H$1792))) &gt; 0),
    --(ISNUMBER(SEARCH("UNECE", 'Inventory - Public Private FMS'!#REF!))),
     --(
        (ISNUMBER(SEARCH("Eggs", 'Inventory - Public Private FMS'!$F$165:$F$1792))) +
        (ISNUMBER(SEARCH("All food commodities", 'Inventory - Public Private FMS'!$F$165:$F$1792))
    ) &gt; 0
))</f>
        <v>#VALUE!</v>
      </c>
      <c r="K105" s="218" t="e" cm="1">
        <f t="array" ref="K105">SUMPRODUCT(
    --((ISNUMBER(SEARCH("L,", 'Inventory - Public Private FMS'!$H$165:$H$1792))) +
      (ISNUMBER(SEARCH("L",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105" s="218" t="e" cm="1">
        <f t="array" ref="L105">SUMPRODUCT(
    --((ISNUMBER(SEARCH("L,", 'Inventory - Public Private FMS'!$H$165:$H$1792))) +
      (ISNUMBER(SEARCH("L", 'Inventory - Public Private FMS'!$H$165:$H$1792))) &gt; 0),
    --(ISNUMBER(SEARCH("UNECE", 'Inventory - Public Private FMS'!#REF!))),
    --(
        (ISNUMBER(SEARCH("Cereals", 'Inventory - Public Private FMS'!$F$165:$F$1792))) +
        (ISNUMBER(SEARCH("All food commodities", 'Inventory - Public Private FMS'!$F$165:$F$1792))
    ) &gt; 0
))</f>
        <v>#VALUE!</v>
      </c>
    </row>
    <row r="106" spans="2:12">
      <c r="C106" t="s">
        <v>3930</v>
      </c>
      <c r="D106" s="216" t="e" cm="1">
        <f t="array" ref="D106">SUMPRODUCT(
    --((ISNUMBER(SEARCH("L,", 'Inventory - Public Private FMS'!$H$165:$H$1792)) +
        ISNUMBER(SEARCH("L", 'Inventory - Public Private FMS'!$H$165:$H$1792))) &gt; 0),
    --(ISNUMBER(SEARCH("Codex Alimentarius", 'Inventory - Public Private FMS'!#REF!)))
)</f>
        <v>#VALUE!</v>
      </c>
      <c r="E106" s="218" t="e" cm="1">
        <f t="array" ref="E106">SUMPRODUCT(
    --((ISNUMBER(SEARCH("L,", 'Inventory - Public Private FMS'!$H$165:$H$1792))) +
      (ISNUMBER(SEARCH("L",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106" s="218" t="e" cm="1">
        <f t="array" ref="F106">SUMPRODUCT(
    --((ISNUMBER(SEARCH("L,", 'Inventory - Public Private FMS'!$H$165:$H$1792))) +
      (ISNUMBER(SEARCH("L",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06" s="218" t="e" cm="1">
        <f t="array" ref="G106">SUMPRODUCT(
    --((ISNUMBER(SEARCH("L,", 'Inventory - Public Private FMS'!$H$165:$H$1792))) +
      (ISNUMBER(SEARCH("L",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06" s="218" t="e" cm="1">
        <f t="array" ref="H106">SUMPRODUCT(
    --((ISNUMBER(SEARCH("L,", 'Inventory - Public Private FMS'!$H$165:$H$1792))) +
      (ISNUMBER(SEARCH("L",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06" s="218" t="e" cm="1">
        <f t="array" ref="I106">SUMPRODUCT(
    --((ISNUMBER(SEARCH("L,", 'Inventory - Public Private FMS'!$H$165:$H$1792))) +
      (ISNUMBER(SEARCH("L",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06" s="218" t="e" cm="1">
        <f t="array" ref="J106">SUMPRODUCT(
    --((ISNUMBER(SEARCH("L,", 'Inventory - Public Private FMS'!$H$165:$H$1792))) +
      (ISNUMBER(SEARCH("L", 'Inventory - Public Private FMS'!$H$165:$H$1792))) &gt; 0),
    --(ISNUMBER(SEARCH("Codex Alimentarius", 'Inventory - Public Private FMS'!#REF!))),
    --(
        (ISNUMBER(SEARCH("Eggs", 'Inventory - Public Private FMS'!$F$165:$F$1792))) +
        (ISNUMBER(SEARCH("All food commodities", 'Inventory - Public Private FMS'!$F$165:$F$1792))
    ) &gt; 0
))</f>
        <v>#VALUE!</v>
      </c>
      <c r="K106" s="218" t="e" cm="1">
        <f t="array" ref="K106">SUMPRODUCT(
    --((ISNUMBER(SEARCH("L,", 'Inventory - Public Private FMS'!$H$165:$H$1792))) +
      (ISNUMBER(SEARCH("L",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106" s="218" t="e" cm="1">
        <f t="array" ref="L106">SUMPRODUCT(
    --((ISNUMBER(SEARCH("L,", 'Inventory - Public Private FMS'!$H$165:$H$1792))) +
      (ISNUMBER(SEARCH("L", 'Inventory - Public Private FMS'!$H$165:$H$1792))) &gt; 0),
    --(ISNUMBER(SEARCH("Codex Alimentarius", 'Inventory - Public Private FMS'!#REF!))),
    --(
        (ISNUMBER(SEARCH("Cereals", 'Inventory - Public Private FMS'!$F$165:$F$1792))) +
        (ISNUMBER(SEARCH("All food commodities", 'Inventory - Public Private FMS'!$F$165:$F$1792))
    ) &gt; 0
))</f>
        <v>#VALUE!</v>
      </c>
    </row>
    <row r="107" spans="2:12" hidden="1">
      <c r="C107" t="s">
        <v>2405</v>
      </c>
      <c r="D107" s="216" cm="1">
        <f t="array" ref="D107">SUMPRODUCT(
    --((ISNUMBER(SEARCH("L,", 'Inventory - Public Private FMS'!$H$165:$H$1792)) +
        ISNUMBER(SEARCH("L", 'Inventory - Public Private FMS'!$H$165:$H$1792))) &gt; 0),
    --(ISNUMBER(SEARCH("Label Rouge", 'Inventory - Public Private FMS'!$P$165:$P$1792)))
)</f>
        <v>0</v>
      </c>
      <c r="E107" s="218" cm="1">
        <f t="array" ref="E107">SUMPRODUCT(
    --((ISNUMBER(SEARCH("L,", 'Inventory - Public Private FMS'!$H$165:$H$1792))) +
      (ISNUMBER(SEARCH("L",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0</v>
      </c>
      <c r="F107" s="218" cm="1">
        <f t="array" ref="F107">SUMPRODUCT(
    --((ISNUMBER(SEARCH("L,", 'Inventory - Public Private FMS'!$H$165:$H$1792))) +
      (ISNUMBER(SEARCH("L",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0</v>
      </c>
      <c r="G107" s="218" cm="1">
        <f t="array" ref="G107">SUMPRODUCT(
    --((ISNUMBER(SEARCH("L,", 'Inventory - Public Private FMS'!$H$165:$H$1792))) +
      (ISNUMBER(SEARCH("L",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0</v>
      </c>
      <c r="H107" s="218" cm="1">
        <f t="array" ref="H107">SUMPRODUCT(
    --((ISNUMBER(SEARCH("L,", 'Inventory - Public Private FMS'!$H$165:$H$1792))) +
      (ISNUMBER(SEARCH("L",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0</v>
      </c>
      <c r="I107" s="218" cm="1">
        <f t="array" ref="I107">SUMPRODUCT(
    --((ISNUMBER(SEARCH("L,", 'Inventory - Public Private FMS'!$H$165:$H$1792))) +
      (ISNUMBER(SEARCH("L",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107" s="218" cm="1">
        <f t="array" ref="J107">SUMPRODUCT(
    --((ISNUMBER(SEARCH("L,", 'Inventory - Public Private FMS'!$H$165:$H$1792))) +
      (ISNUMBER(SEARCH("L", 'Inventory - Public Private FMS'!$H$165:$H$1792))) &gt; 0),
    --(ISNUMBER(SEARCH("Label Rouge", 'Inventory - Public Private FMS'!$P$165:$P$1792))),
    --(
        (ISNUMBER(SEARCH("Eggs", 'Inventory - Public Private FMS'!$F$165:$F$1792))) +
        (ISNUMBER(SEARCH("All food commodities", 'Inventory - Public Private FMS'!$F$165:$F$1792))
    ) &gt; 0
))</f>
        <v>0</v>
      </c>
      <c r="K107" s="218" cm="1">
        <f t="array" ref="K107">SUMPRODUCT(
    --((ISNUMBER(SEARCH("L,", 'Inventory - Public Private FMS'!$H$165:$H$1792))) +
      (ISNUMBER(SEARCH("L",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0</v>
      </c>
      <c r="L107" s="218" cm="1">
        <f t="array" ref="L107">SUMPRODUCT(
    --((ISNUMBER(SEARCH("L,", 'Inventory - Public Private FMS'!$H$165:$H$1792))) +
      (ISNUMBER(SEARCH("L", 'Inventory - Public Private FMS'!$H$165:$H$1792))) &gt; 0),
    --(ISNUMBER(SEARCH("Label Rouge", 'Inventory - Public Private FMS'!$P$165:$P$1792))),
    --(
        (ISNUMBER(SEARCH("Cereals", 'Inventory - Public Private FMS'!$F$165:$F$1792))) +
        (ISNUMBER(SEARCH("All food commodities", 'Inventory - Public Private FMS'!$F$165:$F$1792))
    ) &gt; 0
))</f>
        <v>0</v>
      </c>
    </row>
    <row r="108" spans="2:12">
      <c r="C108" t="s">
        <v>3964</v>
      </c>
      <c r="D108" s="216" t="e" cm="1">
        <f t="array" ref="D108">SUMPRODUCT(
    --((ISNUMBER(SEARCH("L,", 'Inventory - Public Private FMS'!$H$165:$H$1792)) +
        ISNUMBER(SEARCH("L",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108" s="283" t="e" cm="1">
        <f t="array" ref="E108">SUMPRODUCT(
    --((ISNUMBER(SEARCH("L,", 'Inventory - Public Private FMS'!$H$165:$H$1792)) +
        ISNUMBER(SEARCH("L",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108" s="283" t="e" cm="1">
        <f t="array" ref="F108">SUMPRODUCT(
--((ISNUMBER(SEARCH("L,",'Inventory - Public Private FMS'!$H$165:$H$1792))+
ISNUMBER(SEARCH("L",'Inventory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108" s="283" t="e" cm="1">
        <f t="array" ref="G108">SUMPRODUCT(
--((ISNUMBER(SEARCH("L,",'Inventory - Public Private FMS'!$H$165:$H$1792))+
ISNUMBER(SEARCH("L",'Inventory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08" s="283" t="e" cm="1">
        <f t="array" ref="H108">SUMPRODUCT(
--((ISNUMBER(SEARCH("L,",'Inventory - Public Private FMS'!$H$165:$H$1792))+
ISNUMBER(SEARCH("L",'Inventory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108" s="283" t="e" cm="1">
        <f t="array" ref="I108">SUMPRODUCT(
--((ISNUMBER(SEARCH("L,",'Inventory - Public Private FMS'!$H$165:$H$1792))+
ISNUMBER(SEARCH("L",'Inventory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108" s="283" t="e" cm="1">
        <f t="array" ref="J108">SUMPRODUCT(
    --((ISNUMBER(SEARCH("L,", 'Inventory - Public Private FMS'!$H$165:$H$1792)) +
        ISNUMBER(SEARCH("L",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108" s="283" t="e" cm="1">
        <f t="array" ref="K108">SUMPRODUCT(
    --((ISNUMBER(SEARCH("L,", 'Inventory - Public Private FMS'!$H$165:$H$1792)) +
        ISNUMBER(SEARCH("L",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108" s="283" t="e" cm="1">
        <f t="array" ref="L108">SUMPRODUCT(
    --((ISNUMBER(SEARCH("L,", 'Inventory - Public Private FMS'!$H$165:$H$1792)) +
        ISNUMBER(SEARCH("L",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109" spans="2:12">
      <c r="C109" t="s">
        <v>3965</v>
      </c>
      <c r="D109" s="216" cm="1">
        <f t="array" ref="D109">SUMPRODUCT(
    --((ISNUMBER(SEARCH("L,", 'Inventory - Public Private FMS'!$H$165:$H$1792)) +
        ISNUMBER(SEARCH("L", 'Inventory - Public Private FMS'!$H$165:$H$1792))) &gt; 0),
    --(ISNUMBER(SEARCH("Private", 'Inventory - Public Private FMS'!$L$165:$L$1792)))
)</f>
        <v>0</v>
      </c>
      <c r="E109" s="218" cm="1">
        <f t="array" ref="E109">SUMPRODUCT(
    --((ISNUMBER(SEARCH("L,", 'Inventory - Public Private FMS'!$H$165:$H$1792))) +
      (ISNUMBER(SEARCH("L",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109" s="218" cm="1">
        <f t="array" ref="F109">SUMPRODUCT(
    --((ISNUMBER(SEARCH("L,", 'Inventory - Public Private FMS'!$H$165:$H$1792))) +
      (ISNUMBER(SEARCH("L",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109" s="218" cm="1">
        <f t="array" ref="G109">SUMPRODUCT(
    --((ISNUMBER(SEARCH("L,", 'Inventory - Public Private FMS'!$H$165:$H$1792))) +
      (ISNUMBER(SEARCH("L",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109" s="218" cm="1">
        <f t="array" ref="H109">SUMPRODUCT(
    --((ISNUMBER(SEARCH("L,", 'Inventory - Public Private FMS'!$H$165:$H$1792))) +
      (ISNUMBER(SEARCH("L",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109" s="218" cm="1">
        <f t="array" ref="I109">SUMPRODUCT(
    --((ISNUMBER(SEARCH("L,", 'Inventory - Public Private FMS'!$H$165:$H$1792))) +
      (ISNUMBER(SEARCH("L",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109" s="218" cm="1">
        <f t="array" ref="J109">SUMPRODUCT(
    --((ISNUMBER(SEARCH("L,", 'Inventory - Public Private FMS'!$H$165:$H$1792))) +
      (ISNUMBER(SEARCH("L", 'Inventory - Public Private FMS'!$H$165:$H$1792))) &gt; 0),
    --(ISNUMBER(SEARCH("Private", 'Inventory - Public Private FMS'!$L$165:$L$1792))),
    --(
        (ISNUMBER(SEARCH("Eggs", 'Inventory - Public Private FMS'!$F$165:$F$1792))) +
        (ISNUMBER(SEARCH("All food commodities", 'Inventory - Public Private FMS'!$F$165:$F$1792))
    ) &gt; 0
))</f>
        <v>0</v>
      </c>
      <c r="K109" s="218" cm="1">
        <f t="array" ref="K109">SUMPRODUCT(
    --((ISNUMBER(SEARCH("L,", 'Inventory - Public Private FMS'!$H$165:$H$1792))) +
      (ISNUMBER(SEARCH("L",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109" s="218" cm="1">
        <f t="array" ref="L109">SUMPRODUCT(
    --((ISNUMBER(SEARCH("L,", 'Inventory - Public Private FMS'!$H$165:$H$1792))) +
      (ISNUMBER(SEARCH("L", 'Inventory - Public Private FMS'!$H$165:$H$1792))) &gt; 0),
    --(ISNUMBER(SEARCH("Private", 'Inventory - Public Private FMS'!$L$165:$L$1792))),
    --(
        (ISNUMBER(SEARCH("Cereals", 'Inventory - Public Private FMS'!$F$165:$F$1792))) +
        (ISNUMBER(SEARCH("All food commodities", 'Inventory - Public Private FMS'!$F$165:$F$1792))
    ) &gt; 0
))</f>
        <v>0</v>
      </c>
    </row>
    <row r="110" spans="2:12">
      <c r="B110" s="280" t="s">
        <v>177</v>
      </c>
      <c r="C110" s="280" t="s">
        <v>3963</v>
      </c>
      <c r="D110" s="216" cm="1">
        <f t="array" ref="D110">SUMPRODUCT(
--((ISNUMBER(SEARCH("M,",'Inventory - Public Private FMS'!$H$165:$H$1792)))+
(ISNUMBER(SEARCH("M",'Inventory - Public Private FMS'!$H$165:$H$1792)))&gt;0))</f>
        <v>342</v>
      </c>
      <c r="E110" s="218" cm="1">
        <f t="array" ref="E110">SUMPRODUCT(
    --((ISNUMBER(SEARCH("M,", 'Inventory - Public Private FMS'!$H$165:$H$1792))) +
      (ISNUMBER(SEARCH("M", 'Inventory - Public Private FMS'!$H$165:$H$1792))) &gt; 0),
    --(
        (ISNUMBER(SEARCH("Fruits", 'Inventory - Public Private FMS'!$F$165:$F$1792))) +
        (ISNUMBER(SEARCH("Vegetables", 'Inventory - Public Private FMS'!$F$165:$F$1792))) +
        (ISNUMBER(SEARCH("All food commodities", 'Inventory - Public Private FMS'!$F$165:$F$1792))
    ) &gt; 0
))</f>
        <v>35</v>
      </c>
      <c r="F110" s="218" cm="1">
        <f t="array" ref="F110">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 (ISNUMBER(SEARCH("Bovine", 'Inventory - Public Private FMS'!$F$165:$F$1792))
    ) &gt; 0
))</f>
        <v>33</v>
      </c>
      <c r="G110" s="218" cm="1">
        <f t="array" ref="G110">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 (ISNUMBER(SEARCH("Pork", 'Inventory - Public Private FMS'!$F$165:$F$1792))
    ) &gt; 0
))</f>
        <v>33</v>
      </c>
      <c r="H110" s="218" cm="1">
        <f t="array" ref="H110">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 (ISNUMBER(SEARCH("Poultry", 'Inventory - Public Private FMS'!$F$165:$F$1792))
    ) &gt; 0
))</f>
        <v>212</v>
      </c>
      <c r="I110" s="218" cm="1">
        <f t="array" ref="I110">SUMPRODUCT(
    --((ISNUMBER(SEARCH("M,", 'Inventory - Public Private FMS'!$H$165:$H$1792))) +
      (ISNUMBER(SEARCH("M", 'Inventory - Public Private FMS'!$H$165:$H$1792))) &gt; 0),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267</v>
      </c>
      <c r="J110" s="218" cm="1">
        <f t="array" ref="J110">SUMPRODUCT(
    --((ISNUMBER(SEARCH("M,", 'Inventory - Public Private FMS'!$H$165:$H$1792))) +
      (ISNUMBER(SEARCH("M", 'Inventory - Public Private FMS'!$H$165:$H$1792))) &gt; 0),
    --(
        (ISNUMBER(SEARCH("Eggs", 'Inventory - Public Private FMS'!$F$165:$F$1792))) +
        (ISNUMBER(SEARCH("All food commodities", 'Inventory - Public Private FMS'!$F$165:$F$1792))
    ) &gt; 0
))</f>
        <v>18</v>
      </c>
      <c r="K110" s="218" cm="1">
        <f t="array" ref="K110">SUMPRODUCT(
    --((ISNUMBER(SEARCH("M,", 'Inventory - Public Private FMS'!$H$165:$H$1792))) +
      (ISNUMBER(SEARCH("M", 'Inventory - Public Private FMS'!$H$165:$H$1792))) &gt; 0),
    --(
        (ISNUMBER(SEARCH("Fish", 'Inventory - Public Private FMS'!$F$165:$F$1792))) +
        (ISNUMBER(SEARCH("Aquaculture", 'Inventory - Public Private FMS'!$F$165:$F$1792))) +
        (ISNUMBER(SEARCH("All food commodities", 'Inventory - Public Private FMS'!$F$165:$F$1792))
    ) &gt; 0
))</f>
        <v>25</v>
      </c>
      <c r="L110" s="218" cm="1">
        <f t="array" ref="L110">SUMPRODUCT(
    --((ISNUMBER(SEARCH("M,", 'Inventory - Public Private FMS'!$H$165:$H$1792))) +
      (ISNUMBER(SEARCH("M", 'Inventory - Public Private FMS'!$H$165:$H$1792))) &gt; 0),
    --(
        (ISNUMBER(SEARCH("Cereals", 'Inventory - Public Private FMS'!$F$165:$F$1792))) +
        (ISNUMBER(SEARCH("All food commodities", 'Inventory - Public Private FMS'!$F$165:$F$1792))
    ) &gt; 0
))</f>
        <v>13</v>
      </c>
    </row>
    <row r="111" spans="2:12">
      <c r="C111" t="s">
        <v>263</v>
      </c>
      <c r="D111" s="216" t="e" cm="1">
        <f t="array" ref="D111">SUMPRODUCT(
    --((ISNUMBER(SEARCH("M,", 'Inventory - Public Private FMS'!$H$165:$H$1792)) +
        ISNUMBER(SEARCH("M", 'Inventory - Public Private FMS'!$H$165:$H$1792))) &gt; 0),
    --(ISNUMBER(SEARCH("EU", 'Inventory - Public Private FMS'!#REF!)))
)</f>
        <v>#VALUE!</v>
      </c>
      <c r="E111" s="218" t="e" cm="1">
        <f t="array" ref="E111">SUMPRODUCT(
    --((ISNUMBER(SEARCH("M,", 'Inventory - Public Private FMS'!$H$165:$H$1792))) +
      (ISNUMBER(SEARCH("M", 'Inventory - Public Private FMS'!$H$165:$H$1792))) &gt; 0),
    --(ISNUMBER(SEARCH("EU", 'Inventory - Public Private FMS'!#REF!))),
    --(
        (ISNUMBER(SEARCH("Fruits", 'Inventory - Public Private FMS'!$F$165:$F$1792))) +
        (ISNUMBER(SEARCH("Vegetables", 'Inventory - Public Private FMS'!$F$165:$F$1792))) +
        (ISNUMBER(SEARCH("All food commodities", 'Inventory - Public Private FMS'!$F$165:$F$1792))
    ) &gt; 0
))</f>
        <v>#VALUE!</v>
      </c>
      <c r="F111" s="218" t="e" cm="1">
        <f t="array" ref="F111">SUMPRODUCT(
    --((ISNUMBER(SEARCH("M,", 'Inventory - Public Private FMS'!$H$165:$H$1792))) +
      (ISNUMBER(SEARCH("M",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11" s="218" t="e" cm="1">
        <f t="array" ref="G111">SUMPRODUCT(
    --((ISNUMBER(SEARCH("M,", 'Inventory - Public Private FMS'!$H$165:$H$1792))) +
      (ISNUMBER(SEARCH("M",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11" s="218" t="e" cm="1">
        <f t="array" ref="H111">SUMPRODUCT(
    --((ISNUMBER(SEARCH("M,", 'Inventory - Public Private FMS'!$H$165:$H$1792))) +
      (ISNUMBER(SEARCH("M",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11" s="218" t="e" cm="1">
        <f t="array" ref="I111">SUMPRODUCT(
    --((ISNUMBER(SEARCH("M,", 'Inventory - Public Private FMS'!$H$165:$H$1792))) +
      (ISNUMBER(SEARCH("M", 'Inventory - Public Private FMS'!$H$165:$H$1792))) &gt; 0),
    --(ISNUMBER(SEARCH("EU",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11" s="218" t="e" cm="1">
        <f t="array" ref="J111">SUMPRODUCT(
    --((ISNUMBER(SEARCH("M,", 'Inventory - Public Private FMS'!$H$165:$H$1792))) +
      (ISNUMBER(SEARCH("M", 'Inventory - Public Private FMS'!$H$165:$H$1792))) &gt; 0),
    --(ISNUMBER(SEARCH("EU", 'Inventory - Public Private FMS'!#REF!))),
    --(
        (ISNUMBER(SEARCH("Eggs", 'Inventory - Public Private FMS'!$F$165:$F$1792))) +
        (ISNUMBER(SEARCH("All food commodities", 'Inventory - Public Private FMS'!$F$165:$F$1792))
    ) &gt; 0))</f>
        <v>#VALUE!</v>
      </c>
      <c r="K111" s="218" t="e" cm="1">
        <f t="array" ref="K111">SUMPRODUCT(
    --((ISNUMBER(SEARCH("M,", 'Inventory - Public Private FMS'!$H$165:$H$1792))) +
      (ISNUMBER(SEARCH("M", 'Inventory - Public Private FMS'!$H$165:$H$1792))) &gt; 0),
    --(ISNUMBER(SEARCH("EU", 'Inventory - Public Private FMS'!#REF!))),
    --(
        (ISNUMBER(SEARCH("Fish", 'Inventory - Public Private FMS'!$F$165:$F$1792))) +
        (ISNUMBER(SEARCH("Aquaculture", 'Inventory - Public Private FMS'!$F$165:$F$1792))) +
        (ISNUMBER(SEARCH("All food commodities", 'Inventory - Public Private FMS'!$F$165:$F$1792))
    ) &gt; 0
))</f>
        <v>#VALUE!</v>
      </c>
      <c r="L111" s="218" t="e" cm="1">
        <f t="array" ref="L111">SUMPRODUCT(
    --((ISNUMBER(SEARCH("M,", 'Inventory - Public Private FMS'!$H$165:$H$1792))) +
      (ISNUMBER(SEARCH("M", 'Inventory - Public Private FMS'!$H$165:$H$1792))) &gt; 0),
    --(ISNUMBER(SEARCH("EU", 'Inventory - Public Private FMS'!#REF!))),
    --(
        (ISNUMBER(SEARCH("Cereals", 'Inventory - Public Private FMS'!$F$165:$F$1792))) +
        (ISNUMBER(SEARCH("All food commodities", 'Inventory - Public Private FMS'!$F$165:$F$1792))
    ) &gt; 0
))</f>
        <v>#VALUE!</v>
      </c>
    </row>
    <row r="112" spans="2:12">
      <c r="C112" t="s">
        <v>3928</v>
      </c>
      <c r="D112" s="216" t="e" cm="1">
        <f t="array" ref="D112">SUMPRODUCT(
    --((ISNUMBER(SEARCH("M,", 'Inventory - Public Private FMS'!$H$165:$H$1792)) +
        ISNUMBER(SEARCH("M", 'Inventory - Public Private FMS'!$H$165:$H$1792))) &gt; 0),
    --(ISNUMBER(SEARCH("OECD", 'Inventory - Public Private FMS'!#REF!)))
)</f>
        <v>#VALUE!</v>
      </c>
      <c r="E112" s="218" t="e" cm="1">
        <f t="array" ref="E112">SUMPRODUCT(
    --((ISNUMBER(SEARCH("M,", 'Inventory - Public Private FMS'!$H$165:$H$1792))) +
      (ISNUMBER(SEARCH("M", 'Inventory - Public Private FMS'!$H$165:$H$1792))) &gt; 0),
    --(ISNUMBER(SEARCH("OECD", 'Inventory - Public Private FMS'!#REF!))),
    --(
        (ISNUMBER(SEARCH("Fruits", 'Inventory - Public Private FMS'!$F$165:$F$1792))) +
        (ISNUMBER(SEARCH("Vegetables", 'Inventory - Public Private FMS'!$F$165:$F$1792))) +
        (ISNUMBER(SEARCH("All food commodities", 'Inventory - Public Private FMS'!$F$165:$F$1792))
    ) &gt; 0
))</f>
        <v>#VALUE!</v>
      </c>
      <c r="F112" s="218" t="e" cm="1">
        <f t="array" ref="F112">SUMPRODUCT(
    --((ISNUMBER(SEARCH("M,", 'Inventory - Public Private FMS'!$H$165:$H$1792))) +
      (ISNUMBER(SEARCH("M",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12" s="218" t="e" cm="1">
        <f t="array" ref="G112">SUMPRODUCT(
    --((ISNUMBER(SEARCH("M,", 'Inventory - Public Private FMS'!$H$165:$H$1792))) +
      (ISNUMBER(SEARCH("M",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12" s="218" t="e" cm="1">
        <f t="array" ref="H112">SUMPRODUCT(
    --((ISNUMBER(SEARCH("M,", 'Inventory - Public Private FMS'!$H$165:$H$1792))) +
      (ISNUMBER(SEARCH("M",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12" s="218" t="e" cm="1">
        <f t="array" ref="I112">SUMPRODUCT(
    --((ISNUMBER(SEARCH("M,", 'Inventory - Public Private FMS'!$H$165:$H$1792))) +
      (ISNUMBER(SEARCH("M", 'Inventory - Public Private FMS'!$H$165:$H$1792))) &gt; 0),
    --(ISNUMBER(SEARCH("OECD",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12" s="218" t="e" cm="1">
        <f t="array" ref="J112">SUMPRODUCT(
    --((ISNUMBER(SEARCH("M,", 'Inventory - Public Private FMS'!$H$165:$H$1792))) +
      (ISNUMBER(SEARCH("M", 'Inventory - Public Private FMS'!$H$165:$H$1792))) &gt; 0),
    --(ISNUMBER(SEARCH("OECD", 'Inventory - Public Private FMS'!#REF!))),
    --(
        (ISNUMBER(SEARCH("Eggs", 'Inventory - Public Private FMS'!$F$165:$F$1792))) +
        (ISNUMBER(SEARCH("All food commodities", 'Inventory - Public Private FMS'!$F$165:$F$1792))
    ) &gt; 0
))</f>
        <v>#VALUE!</v>
      </c>
      <c r="K112" s="218" t="e" cm="1">
        <f t="array" ref="K112">SUMPRODUCT(
    --((ISNUMBER(SEARCH("M,", 'Inventory - Public Private FMS'!$H$165:$H$1792))) +
      (ISNUMBER(SEARCH("M", 'Inventory - Public Private FMS'!$H$165:$H$1792))) &gt; 0),
    --(ISNUMBER(SEARCH("OECD", 'Inventory - Public Private FMS'!#REF!))),
     --(
        (ISNUMBER(SEARCH("Fish", 'Inventory - Public Private FMS'!$F$165:$F$1792))) +
        (ISNUMBER(SEARCH("Aquaculture", 'Inventory - Public Private FMS'!$F$165:$F$1792))) +
        (ISNUMBER(SEARCH("All food commodities", 'Inventory - Public Private FMS'!$F$165:$F$1792))
    ) &gt; 0
))</f>
        <v>#VALUE!</v>
      </c>
      <c r="L112" s="218" t="e" cm="1">
        <f t="array" ref="L112">SUMPRODUCT(
    --((ISNUMBER(SEARCH("M,", 'Inventory - Public Private FMS'!$H$165:$H$1792))) +
      (ISNUMBER(SEARCH("M", 'Inventory - Public Private FMS'!$H$165:$H$1792))) &gt; 0),
    --(ISNUMBER(SEARCH("OECD", 'Inventory - Public Private FMS'!#REF!))),
    --(
        (ISNUMBER(SEARCH("Cereals", 'Inventory - Public Private FMS'!$F$165:$F$1792))) +
        (ISNUMBER(SEARCH("All food commodities", 'Inventory - Public Private FMS'!$F$165:$F$1792))
    ) &gt; 0
))</f>
        <v>#VALUE!</v>
      </c>
    </row>
    <row r="113" spans="3:12">
      <c r="C113" t="s">
        <v>3926</v>
      </c>
      <c r="D113" s="216" t="e" cm="1">
        <f t="array" ref="D113">SUMPRODUCT(
    --((ISNUMBER(SEARCH("M,", 'Inventory - Public Private FMS'!$H$165:$H$1792)) +
        ISNUMBER(SEARCH("M", 'Inventory - Public Private FMS'!$H$165:$H$1792))) &gt; 0),
    --(ISNUMBER(SEARCH("UNECE", 'Inventory - Public Private FMS'!#REF!)))
)</f>
        <v>#VALUE!</v>
      </c>
      <c r="E113" s="218" t="e" cm="1">
        <f t="array" ref="E113">SUMPRODUCT(
    --((ISNUMBER(SEARCH("M,", 'Inventory - Public Private FMS'!$H$165:$H$1792))) +
      (ISNUMBER(SEARCH("M", 'Inventory - Public Private FMS'!$H$165:$H$1792))) &gt; 0),
    --(ISNUMBER(SEARCH("UNECE", 'Inventory - Public Private FMS'!#REF!))),
    --(
        (ISNUMBER(SEARCH("Fruits", 'Inventory - Public Private FMS'!$F$165:$F$1792))) +
        (ISNUMBER(SEARCH("Vegetables", 'Inventory - Public Private FMS'!$F$165:$F$1792))) +
        (ISNUMBER(SEARCH("All food commodities", 'Inventory - Public Private FMS'!$F$165:$F$1792))
    ) &gt; 0
))</f>
        <v>#VALUE!</v>
      </c>
      <c r="F113" s="218" t="e" cm="1">
        <f t="array" ref="F113">SUMPRODUCT(
    --((ISNUMBER(SEARCH("M,", 'Inventory - Public Private FMS'!$H$165:$H$1792))) +
      (ISNUMBER(SEARCH("M",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13" s="218" t="e" cm="1">
        <f t="array" ref="G113">SUMPRODUCT(
    --((ISNUMBER(SEARCH("M,", 'Inventory - Public Private FMS'!$H$165:$H$1792))) +
      (ISNUMBER(SEARCH("M",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13" s="218" t="e" cm="1">
        <f t="array" ref="H113">SUMPRODUCT(
    --((ISNUMBER(SEARCH("M,", 'Inventory - Public Private FMS'!$H$165:$H$1792))) +
      (ISNUMBER(SEARCH("M",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13" s="218" t="e" cm="1">
        <f t="array" ref="I113">SUMPRODUCT(
    --((ISNUMBER(SEARCH("M,", 'Inventory - Public Private FMS'!$H$165:$H$1792))) +
      (ISNUMBER(SEARCH("M", 'Inventory - Public Private FMS'!$H$165:$H$1792))) &gt; 0),
    --(ISNUMBER(SEARCH("UNECE",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13" s="218" t="e" cm="1">
        <f t="array" ref="J113">SUMPRODUCT(
    --((ISNUMBER(SEARCH("M,", 'Inventory - Public Private FMS'!$H$165:$H$1792))) +
      (ISNUMBER(SEARCH("M", 'Inventory - Public Private FMS'!$H$165:$H$1792))) &gt; 0),
    --(ISNUMBER(SEARCH("UNECE", 'Inventory - Public Private FMS'!#REF!))),
     --(
        (ISNUMBER(SEARCH("Eggs", 'Inventory - Public Private FMS'!$F$165:$F$1792))) +
        (ISNUMBER(SEARCH("All food commodities", 'Inventory - Public Private FMS'!$F$165:$F$1792))
    ) &gt; 0
))</f>
        <v>#VALUE!</v>
      </c>
      <c r="K113" s="218" t="e" cm="1">
        <f t="array" ref="K113">SUMPRODUCT(
    --((ISNUMBER(SEARCH("M,", 'Inventory - Public Private FMS'!$H$165:$H$1792))) +
      (ISNUMBER(SEARCH("M", 'Inventory - Public Private FMS'!$H$165:$H$1792))) &gt; 0),
    --(ISNUMBER(SEARCH("UNECE", 'Inventory - Public Private FMS'!#REF!))),
    --(
        (ISNUMBER(SEARCH("Fish", 'Inventory - Public Private FMS'!$F$165:$F$1792))) +
        (ISNUMBER(SEARCH("Aquaculture", 'Inventory - Public Private FMS'!$F$165:$F$1792))) +
        (ISNUMBER(SEARCH("All food commodities", 'Inventory - Public Private FMS'!$F$165:$F$1792))
    ) &gt; 0
))</f>
        <v>#VALUE!</v>
      </c>
      <c r="L113" s="218" t="e" cm="1">
        <f t="array" ref="L113">SUMPRODUCT(
    --((ISNUMBER(SEARCH("M,", 'Inventory - Public Private FMS'!$H$165:$H$1792))) +
      (ISNUMBER(SEARCH("M", 'Inventory - Public Private FMS'!$H$165:$H$1792))) &gt; 0),
    --(ISNUMBER(SEARCH("UNECE", 'Inventory - Public Private FMS'!#REF!))),
    --(
        (ISNUMBER(SEARCH("Cereals", 'Inventory - Public Private FMS'!$F$165:$F$1792))) +
        (ISNUMBER(SEARCH("All food commodities", 'Inventory - Public Private FMS'!$F$165:$F$1792))
    ) &gt; 0
))</f>
        <v>#VALUE!</v>
      </c>
    </row>
    <row r="114" spans="3:12">
      <c r="C114" t="s">
        <v>3930</v>
      </c>
      <c r="D114" s="216" t="e" cm="1">
        <f t="array" ref="D114">SUMPRODUCT(
    --((ISNUMBER(SEARCH("M,", 'Inventory - Public Private FMS'!$H$165:$H$1792)) +
        ISNUMBER(SEARCH("M", 'Inventory - Public Private FMS'!$H$165:$H$1792))) &gt; 0),
    --(ISNUMBER(SEARCH("Codex Alimentarius", 'Inventory - Public Private FMS'!#REF!)))
)</f>
        <v>#VALUE!</v>
      </c>
      <c r="E114" s="218" t="e" cm="1">
        <f t="array" ref="E114">SUMPRODUCT(
    --((ISNUMBER(SEARCH("M,", 'Inventory - Public Private FMS'!$H$165:$H$1792))) +
      (ISNUMBER(SEARCH("M", 'Inventory - Public Private FMS'!$H$165:$H$1792))) &gt; 0),
    --(ISNUMBER(SEARCH("Codex Alimentarius", 'Inventory - Public Private FMS'!#REF!))),
    --(
        (ISNUMBER(SEARCH("Fruits", 'Inventory - Public Private FMS'!$F$165:$F$1792))) +
        (ISNUMBER(SEARCH("Vegetables", 'Inventory - Public Private FMS'!$F$165:$F$1792))) +
        (ISNUMBER(SEARCH("All food commodities", 'Inventory - Public Private FMS'!$F$165:$F$1792))
    ) &gt; 0
))</f>
        <v>#VALUE!</v>
      </c>
      <c r="F114" s="218" t="e" cm="1">
        <f t="array" ref="F114">SUMPRODUCT(
    --((ISNUMBER(SEARCH("M,", 'Inventory - Public Private FMS'!$H$165:$H$1792))) +
      (ISNUMBER(SEARCH("M",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(ISNUMBER(SEARCH("Bovine", 'Inventory - Public Private FMS'!$F$165:$F$1792))
    ) &gt; 0
))</f>
        <v>#VALUE!</v>
      </c>
      <c r="G114" s="218" t="e" cm="1">
        <f t="array" ref="G114">SUMPRODUCT(
    --((ISNUMBER(SEARCH("M,", 'Inventory - Public Private FMS'!$H$165:$H$1792))) +
      (ISNUMBER(SEARCH("M",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14" s="218" t="e" cm="1">
        <f t="array" ref="H114">SUMPRODUCT(
    --((ISNUMBER(SEARCH("M,", 'Inventory - Public Private FMS'!$H$165:$H$1792))) +
      (ISNUMBER(SEARCH("M",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 (ISNUMBER(SEARCH("Poultry", 'Inventory - Public Private FMS'!$F$165:$F$1792))) &gt; 0
))</f>
        <v>#VALUE!</v>
      </c>
      <c r="I114" s="218" t="e" cm="1">
        <f t="array" ref="I114">SUMPRODUCT(
    --((ISNUMBER(SEARCH("M,", 'Inventory - Public Private FMS'!$H$165:$H$1792))) +
      (ISNUMBER(SEARCH("M", 'Inventory - Public Private FMS'!$H$165:$H$1792))) &gt; 0),
    --(ISNUMBER(SEARCH("Codex Alimentarius", 'Inventory - Public Private FMS'!#REF!))),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#VALUE!</v>
      </c>
      <c r="J114" s="218" t="e" cm="1">
        <f t="array" ref="J114">SUMPRODUCT(
    --((ISNUMBER(SEARCH("M,", 'Inventory - Public Private FMS'!$H$165:$H$1792))) +
      (ISNUMBER(SEARCH("M", 'Inventory - Public Private FMS'!$H$165:$H$1792))) &gt; 0),
    --(ISNUMBER(SEARCH("Codex Alimentarius", 'Inventory - Public Private FMS'!#REF!))),
    --(
        (ISNUMBER(SEARCH("Eggs", 'Inventory - Public Private FMS'!$F$165:$F$1792))) +
        (ISNUMBER(SEARCH("All food commodities", 'Inventory - Public Private FMS'!$F$165:$F$1792))
    ) &gt; 0
))</f>
        <v>#VALUE!</v>
      </c>
      <c r="K114" s="218" t="e" cm="1">
        <f t="array" ref="K114">SUMPRODUCT(
    --((ISNUMBER(SEARCH("M,", 'Inventory - Public Private FMS'!$H$165:$H$1792))) +
      (ISNUMBER(SEARCH("M", 'Inventory - Public Private FMS'!$H$165:$H$1792))) &gt; 0),
    --(ISNUMBER(SEARCH("Codex Alimentarius", 'Inventory - Public Private FMS'!#REF!))),
    --(
        (ISNUMBER(SEARCH("Fish", 'Inventory - Public Private FMS'!$F$165:$F$1792))) +
        (ISNUMBER(SEARCH("Aquaculture", 'Inventory - Public Private FMS'!$F$165:$F$1792))) +
        (ISNUMBER(SEARCH("All food commodities", 'Inventory - Public Private FMS'!$F$165:$F$1792))
    ) &gt; 0
))</f>
        <v>#VALUE!</v>
      </c>
      <c r="L114" s="218" t="e" cm="1">
        <f t="array" ref="L114">SUMPRODUCT(
    --((ISNUMBER(SEARCH("M,", 'Inventory - Public Private FMS'!$H$165:$H$1792))) +
      (ISNUMBER(SEARCH("M", 'Inventory - Public Private FMS'!$H$165:$H$1792))) &gt; 0),
    --(ISNUMBER(SEARCH("Codex Alimentarius", 'Inventory - Public Private FMS'!#REF!))),
    --(
        (ISNUMBER(SEARCH("Cereals", 'Inventory - Public Private FMS'!$F$165:$F$1792))) +
        (ISNUMBER(SEARCH("All food commodities", 'Inventory - Public Private FMS'!$F$165:$F$1792))
    ) &gt; 0
))</f>
        <v>#VALUE!</v>
      </c>
    </row>
    <row r="115" spans="3:12" hidden="1">
      <c r="C115" t="s">
        <v>2405</v>
      </c>
      <c r="D115" s="216" cm="1">
        <f t="array" ref="D115">SUMPRODUCT(
    --((ISNUMBER(SEARCH("M,", 'Inventory - Public Private FMS'!$H$165:$H$1792)) +
        ISNUMBER(SEARCH("M", 'Inventory - Public Private FMS'!$H$165:$H$1792))) &gt; 0),
    --(ISNUMBER(SEARCH("Label Rouge", 'Inventory - Public Private FMS'!$P$165:$P$1792)))
)</f>
        <v>328</v>
      </c>
      <c r="E115" s="218" cm="1">
        <f t="array" ref="E115">SUMPRODUCT(
    --((ISNUMBER(SEARCH("M,", 'Inventory - Public Private FMS'!$H$165:$H$1792))) +
      (ISNUMBER(SEARCH("M", 'Inventory - Public Private FMS'!$H$165:$H$1792))) &gt; 0),
    --(ISNUMBER(SEARCH("Label Rouge", 'Inventory - Public Private FMS'!$P$165:$P$1792))),
    --(
        (ISNUMBER(SEARCH("Fruits", 'Inventory - Public Private FMS'!$F$165:$F$1792))) +
        (ISNUMBER(SEARCH("Vegetables", 'Inventory - Public Private FMS'!$F$165:$F$1792))) +
        (ISNUMBER(SEARCH("All food commodities", 'Inventory - Public Private FMS'!$F$165:$F$1792))
    ) &gt; 0
))</f>
        <v>31</v>
      </c>
      <c r="F115" s="218" cm="1">
        <f t="array" ref="F115">SUMPRODUCT(
    --((ISNUMBER(SEARCH("M,", 'Inventory - Public Private FMS'!$H$165:$H$1792))) +
      (ISNUMBER(SEARCH("M",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(ISNUMBER(SEARCH("Bovine", 'Inventory - Public Private FMS'!$F$165:$F$1792))
    ) &gt; 0))</f>
        <v>27</v>
      </c>
      <c r="G115" s="218" cm="1">
        <f t="array" ref="G115">SUMPRODUCT(
    --((ISNUMBER(SEARCH("M,", 'Inventory - Public Private FMS'!$H$165:$H$1792))) +
      (ISNUMBER(SEARCH("M",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f>
        <v>28</v>
      </c>
      <c r="H115" s="218" cm="1">
        <f t="array" ref="H115">SUMPRODUCT(
    --((ISNUMBER(SEARCH("M,", 'Inventory - Public Private FMS'!$H$165:$H$1792))) +
      (ISNUMBER(SEARCH("M",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208</v>
      </c>
      <c r="I115" s="218" cm="1">
        <f t="array" ref="I115">SUMPRODUCT(
    --((ISNUMBER(SEARCH("M,", 'Inventory - Public Private FMS'!$H$165:$H$1792))) +
      (ISNUMBER(SEARCH("M", 'Inventory - Public Private FMS'!$H$165:$H$1792))) &gt; 0),
    --(ISNUMBER(SEARCH("Label Rouge", 'Inventory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261</v>
      </c>
      <c r="J115" s="218" cm="1">
        <f t="array" ref="J115">SUMPRODUCT(
    --((ISNUMBER(SEARCH("M,", 'Inventory - Public Private FMS'!$H$165:$H$1792))) +
      (ISNUMBER(SEARCH("M", 'Inventory - Public Private FMS'!$H$165:$H$1792))) &gt; 0),
    --(ISNUMBER(SEARCH("Label Rouge", 'Inventory - Public Private FMS'!$P$165:$P$1792))),
    --(
        (ISNUMBER(SEARCH("Eggs", 'Inventory - Public Private FMS'!$F$165:$F$1792))) +
        (ISNUMBER(SEARCH("All food commodities", 'Inventory - Public Private FMS'!$F$165:$F$1792))
    ) &gt; 0
))</f>
        <v>14</v>
      </c>
      <c r="K115" s="218" cm="1">
        <f t="array" ref="K115">SUMPRODUCT(
    --((ISNUMBER(SEARCH("M,", 'Inventory - Public Private FMS'!$H$165:$H$1792))) +
      (ISNUMBER(SEARCH("M", 'Inventory - Public Private FMS'!$H$165:$H$1792))) &gt; 0),
    --(ISNUMBER(SEARCH("Label Rouge", 'Inventory - Public Private FMS'!$P$165:$P$1792))),
    --(
        (ISNUMBER(SEARCH("Fish", 'Inventory - Public Private FMS'!$F$165:$F$1792))) +
        (ISNUMBER(SEARCH("Aquaculture", 'Inventory - Public Private FMS'!$F$165:$F$1792))) +
        (ISNUMBER(SEARCH("All food commodities", 'Inventory - Public Private FMS'!$F$165:$F$1792))
    ) &gt; 0
))</f>
        <v>19</v>
      </c>
      <c r="L115" s="218" cm="1">
        <f t="array" ref="L115">SUMPRODUCT(
    --((ISNUMBER(SEARCH("M,", 'Inventory - Public Private FMS'!$H$165:$H$1792))) +
      (ISNUMBER(SEARCH("M", 'Inventory - Public Private FMS'!$H$165:$H$1792))) &gt; 0),
    --(ISNUMBER(SEARCH("Label Rouge", 'Inventory - Public Private FMS'!$P$165:$P$1792))),
    --(
        (ISNUMBER(SEARCH("Cereals", 'Inventory - Public Private FMS'!$F$165:$F$1792))) +
        (ISNUMBER(SEARCH("All food commodities", 'Inventory - Public Private FMS'!$F$165:$F$1792))
    ) &gt; 0
))</f>
        <v>7</v>
      </c>
    </row>
    <row r="116" spans="3:12">
      <c r="C116" t="s">
        <v>3964</v>
      </c>
      <c r="D116" s="216" t="e" cm="1">
        <f t="array" ref="D116">SUMPRODUCT(
    --((ISNUMBER(SEARCH("M,", 'Inventory - Public Private FMS'!$H$165:$H$1792)) +
        ISNUMBER(SEARCH("M",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f>
        <v>#VALUE!</v>
      </c>
      <c r="E116" s="283" t="e" cm="1">
        <f t="array" ref="E116">SUMPRODUCT(
    --((ISNUMBER(SEARCH("M,", 'Inventory - Public Private FMS'!$H$165:$H$1792)) +
        ISNUMBER(SEARCH("M",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--((ISNUMBER(SEARCH("Fruits", 'Inventory - Public Private FMS'!$F$165:$F$1792))) +
        (ISNUMBER(SEARCH("Vegetables", 'Inventory - Public Private FMS'!$F$165:$F$1792))) +
        (ISNUMBER(SEARCH("All food commodities", 'Inventory - Public Private FMS'!$F$165:$F$1792))) &gt; 0)
)</f>
        <v>#VALUE!</v>
      </c>
      <c r="F116" s="283" t="e" cm="1">
        <f t="array" ref="F116">SUMPRODUCT(
--((ISNUMBER(SEARCH("M,",'Inventory - Public Private FMS'!$H$165:$H$1792))+
ISNUMBER(SEARCH("M",'Inventory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(ISNUMBER(SEARCH("Meat",'Inventory - Public Private FMS'!$F$165:$F$1792)))
+(ISNUMBER(SEARCH("All food commodities",'Inventory - Public Private FMS'!$F$165:$F$1792)))
+(ISNUMBER(SEARCH("livestock",'Inventory - Public Private FMS'!$F$165:$F$1792)))
+(ISNUMBER(SEARCH("Bovine",'Inventory - Public Private FMS'!$F$165:$F$1792))
)&gt;0)
)</f>
        <v>#VALUE!</v>
      </c>
      <c r="G116" s="283" t="e" cm="1">
        <f t="array" ref="G116">SUMPRODUCT(
--((ISNUMBER(SEARCH("M,",'Inventory - Public Private FMS'!$H$165:$H$1792))+
ISNUMBER(SEARCH("M",'Inventory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(ISNUMBER(SEARCH("Pork", 'Inventory - Public Private FMS'!$F$165:$F$1792))
    ) &gt; 0)
)</f>
        <v>#VALUE!</v>
      </c>
      <c r="H116" s="283" t="e" cm="1">
        <f t="array" ref="H116">SUMPRODUCT(
--((ISNUMBER(SEARCH("M,",'Inventory - Public Private FMS'!$H$165:$H$1792))+
ISNUMBER(SEARCH("M",'Inventory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 (ISNUMBER(SEARCH("Poultry", 'Inventory - Public Private FMS'!$F$165:$F$1792))) &gt; 0
)
)</f>
        <v>#VALUE!</v>
      </c>
      <c r="I116" s="283" t="e" cm="1">
        <f t="array" ref="I116">SUMPRODUCT(
--((ISNUMBER(SEARCH("M,",'Inventory - Public Private FMS'!$H$165:$H$1792))+
ISNUMBER(SEARCH("M",'Inventory - Public Private FMS'!$H$165:$H$1792)))&gt;0),
--(ISNUMBER(SEARCH("Public",'Inventory - Public Private FMS'!$L$165:$L$1792))),
--(NOT(ISNUMBER(SEARCH("EU",'Inventory - Public Private FMS'!#REF!)))*
NOT(ISNUMBER(SEARCH("OECD",'Inventory - Public Private FMS'!#REF!)))*
NOT(ISNUMBER(SEARCH("UNECE",'Inventory - Public Private FMS'!#REF!)))*
NOT(ISNUMBER(SEARCH("Codex Alimentarius",'Inventory - Public Private FMS'!#REF!)))),
--(NOT(ISNUMBER(SEARCH("Label Rouge",'Inventory - Public Private FMS'!$P$165:$P$1792)))),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
)</f>
        <v>#VALUE!</v>
      </c>
      <c r="J116" s="283" t="e" cm="1">
        <f t="array" ref="J116">SUMPRODUCT(
    --((ISNUMBER(SEARCH("M,", 'Inventory - Public Private FMS'!$H$165:$H$1792)) +
        ISNUMBER(SEARCH("M",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(ISNUMBER(SEARCH("Eggs", 'Inventory - Public Private FMS'!$F$165:$F$1792))) +
        (ISNUMBER(SEARCH("All food commodities", 'Inventory - Public Private FMS'!$F$165:$F$1792))
    ) &gt; 0
)
)</f>
        <v>#VALUE!</v>
      </c>
      <c r="K116" s="283" t="e" cm="1">
        <f t="array" ref="K116">SUMPRODUCT(
    --((ISNUMBER(SEARCH("M,", 'Inventory - Public Private FMS'!$H$165:$H$1792)) +
        ISNUMBER(SEARCH("M",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(ISNUMBER(SEARCH("Fish", 'Inventory - Public Private FMS'!$F$165:$F$1792))) +
        (ISNUMBER(SEARCH("Aquaculture", 'Inventory - Public Private FMS'!$F$165:$F$1792))) +
        (ISNUMBER(SEARCH("All food commodities", 'Inventory - Public Private FMS'!$F$165:$F$1792))
    ) &gt; 0
)
)</f>
        <v>#VALUE!</v>
      </c>
      <c r="L116" s="283" t="e" cm="1">
        <f t="array" ref="L116">SUMPRODUCT(
    --((ISNUMBER(SEARCH("M,", 'Inventory - Public Private FMS'!$H$165:$H$1792)) +
        ISNUMBER(SEARCH("M", 'Inventory - Public Private FMS'!$H$165:$H$1792))) &gt; 0),
    --(ISNUMBER(SEARCH("Public", 'Inventory - Public Private FMS'!$L$165:$L$1792))),
    --(NOT(ISNUMBER(SEARCH("EU", 'Inventory - Public Private FMS'!#REF!))) *
        NOT(ISNUMBER(SEARCH("OECD", 'Inventory - Public Private FMS'!#REF!))) *
        NOT(ISNUMBER(SEARCH("UNECE", 'Inventory - Public Private FMS'!#REF!))) *
        NOT(ISNUMBER(SEARCH("Codex Alimentarius", 'Inventory - Public Private FMS'!#REF!)))),
    --(NOT(ISNUMBER(SEARCH("Label Rouge", 'Inventory - Public Private FMS'!$P$165:$P$1792)))),
    --(
        (ISNUMBER(SEARCH("Cereals", 'Inventory - Public Private FMS'!$F$165:$F$1792))) +
        (ISNUMBER(SEARCH("All food commodities", 'Inventory - Public Private FMS'!$F$165:$F$1792))
    ) &gt; 0
)
)</f>
        <v>#VALUE!</v>
      </c>
    </row>
    <row r="117" spans="3:12">
      <c r="C117" t="s">
        <v>3965</v>
      </c>
      <c r="D117" s="216" cm="1">
        <f t="array" ref="D117">SUMPRODUCT(
    --((ISNUMBER(SEARCH("M,", 'Inventory - Public Private FMS'!$H$165:$H$1792)) +
        ISNUMBER(SEARCH("M", 'Inventory - Public Private FMS'!$H$165:$H$1792))) &gt; 0),
    --(ISNUMBER(SEARCH("Private", 'Inventory - Public Private FMS'!$L$165:$L$1792)))
)</f>
        <v>0</v>
      </c>
      <c r="E117" s="218" cm="1">
        <f t="array" ref="E117">SUMPRODUCT(
    --((ISNUMBER(SEARCH("M,", 'Inventory - Public Private FMS'!$H$165:$H$1792))) +
      (ISNUMBER(SEARCH("M", 'Inventory - Public Private FMS'!$H$165:$H$1792))) &gt; 0),
    --(ISNUMBER(SEARCH("Private", 'Inventory - Public Private FMS'!$L$165:$L$1792))),
    --(
        (ISNUMBER(SEARCH("Fruits", 'Inventory - Public Private FMS'!$F$165:$F$1792))) +
        (ISNUMBER(SEARCH("Vegetables", 'Inventory - Public Private FMS'!$F$165:$F$1792))) +
        (ISNUMBER(SEARCH("All food commodities", 'Inventory - Public Private FMS'!$F$165:$F$1792))
    ) &gt; 0
))</f>
        <v>0</v>
      </c>
      <c r="F117" s="218" cm="1">
        <f t="array" ref="F117">SUMPRODUCT(
    --((ISNUMBER(SEARCH("M,", 'Inventory - Public Private FMS'!$H$165:$H$1792))) +
      (ISNUMBER(SEARCH("M",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(ISNUMBER(SEARCH("Bovine", 'Inventory - Public Private FMS'!$F$165:$F$1792))
    ) &gt; 0
))</f>
        <v>0</v>
      </c>
      <c r="G117" s="218" cm="1">
        <f t="array" ref="G117">SUMPRODUCT(
    --((ISNUMBER(SEARCH("M,", 'Inventory - Public Private FMS'!$H$165:$H$1792))) +
      (ISNUMBER(SEARCH("M",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(ISNUMBER(SEARCH("Pork", 'Inventory - Public Private FMS'!$F$165:$F$1792))
    ) &gt; 0
))</f>
        <v>0</v>
      </c>
      <c r="H117" s="218" cm="1">
        <f t="array" ref="H117">SUMPRODUCT(
    --((ISNUMBER(SEARCH("M,", 'Inventory - Public Private FMS'!$H$165:$H$1792))) +
      (ISNUMBER(SEARCH("M",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 (ISNUMBER(SEARCH("Poultry", 'Inventory - Public Private FMS'!$F$165:$F$1792))) &gt; 0
))</f>
        <v>0</v>
      </c>
      <c r="I117" s="218" cm="1">
        <f t="array" ref="I117">SUMPRODUCT(
    --((ISNUMBER(SEARCH("M,", 'Inventory - Public Private FMS'!$H$165:$H$1792))) +
      (ISNUMBER(SEARCH("M", 'Inventory - Public Private FMS'!$H$165:$H$1792))) &gt; 0),
    --(ISNUMBER(SEARCH("Private", 'Inventory - Public Private FMS'!$L$165:$L$1792))),
    --(
        (ISNUMBER(SEARCH("Meat", 'Inventory - Public Private FMS'!$F$165:$F$1792)))
        + (ISNUMBER(SEARCH("All food commodities", 'Inventory - Public Private FMS'!$F$165:$F$1792)))
        + (ISNUMBER(SEARCH("livestock", 'Inventory - Public Private FMS'!$F$165:$F$1792)))
        +(ISNUMBER(SEARCH("Bovine",'Inventory - Public Private FMS'!$F$165:$F$1792)))
        +(ISNUMBER(SEARCH("Pork",'Inventory - Public Private FMS'!$F$165:$F$1792)))
        + (ISNUMBER(SEARCH("Poultry", 'Inventory - Public Private FMS'!$F$165:$F$1792))
    ) &gt; 0
))</f>
        <v>0</v>
      </c>
      <c r="J117" s="218" cm="1">
        <f t="array" ref="J117">SUMPRODUCT(
    --((ISNUMBER(SEARCH("M,", 'Inventory - Public Private FMS'!$H$165:$H$1792))) +
      (ISNUMBER(SEARCH("M", 'Inventory - Public Private FMS'!$H$165:$H$1792))) &gt; 0),
    --(ISNUMBER(SEARCH("Private", 'Inventory - Public Private FMS'!$L$165:$L$1792))),
    --(
        (ISNUMBER(SEARCH("Eggs", 'Inventory - Public Private FMS'!$F$165:$F$1792))) +
        (ISNUMBER(SEARCH("All food commodities", 'Inventory - Public Private FMS'!$F$165:$F$1792))
    ) &gt; 0
))</f>
        <v>0</v>
      </c>
      <c r="K117" s="218" cm="1">
        <f t="array" ref="K117">SUMPRODUCT(
    --((ISNUMBER(SEARCH("M,", 'Inventory - Public Private FMS'!$H$165:$H$1792))) +
      (ISNUMBER(SEARCH("M", 'Inventory - Public Private FMS'!$H$165:$H$1792))) &gt; 0),
    --(ISNUMBER(SEARCH("Private", 'Inventory - Public Private FMS'!$L$165:$L$1792))),
    --(
        (ISNUMBER(SEARCH("Fish", 'Inventory - Public Private FMS'!$F$165:$F$1792))) +
        (ISNUMBER(SEARCH("Aquaculture", 'Inventory - Public Private FMS'!$F$165:$F$1792))) +
        (ISNUMBER(SEARCH("All food commodities", 'Inventory - Public Private FMS'!$F$165:$F$1792))
    ) &gt; 0
))</f>
        <v>0</v>
      </c>
      <c r="L117" s="218" cm="1">
        <f t="array" ref="L117">SUMPRODUCT(
    --((ISNUMBER(SEARCH("M,", 'Inventory - Public Private FMS'!$H$165:$H$1792))) +
      (ISNUMBER(SEARCH("M", 'Inventory - Public Private FMS'!$H$165:$H$1792))) &gt; 0),
    --(ISNUMBER(SEARCH("Private", 'Inventory - Public Private FMS'!$L$165:$L$1792))),
    --(
        (ISNUMBER(SEARCH("Cereals", 'Inventory - Public Private FMS'!$F$165:$F$1792))) +
        (ISNUMBER(SEARCH("All food commodities", 'Inventory - Public Private FMS'!$F$165:$F$1792))
    ) &gt; 0
))</f>
        <v>0</v>
      </c>
    </row>
  </sheetData>
  <mergeCells count="10">
    <mergeCell ref="E2:E3"/>
    <mergeCell ref="F2:I2"/>
    <mergeCell ref="J2:J3"/>
    <mergeCell ref="K2:K3"/>
    <mergeCell ref="L2:L3"/>
    <mergeCell ref="F18:I18"/>
    <mergeCell ref="J18:J19"/>
    <mergeCell ref="E18:E19"/>
    <mergeCell ref="K18:K19"/>
    <mergeCell ref="L18:L19"/>
  </mergeCells>
  <conditionalFormatting sqref="E22:I28">
    <cfRule type="colorScale" priority="37">
      <colorScale>
        <cfvo type="min"/>
        <cfvo type="max"/>
        <color rgb="FFFFEF9C"/>
        <color rgb="FF63BE7B"/>
      </colorScale>
    </cfRule>
  </conditionalFormatting>
  <conditionalFormatting sqref="E30:I36">
    <cfRule type="colorScale" priority="33">
      <colorScale>
        <cfvo type="min"/>
        <cfvo type="max"/>
        <color rgb="FFFFEF9C"/>
        <color rgb="FF63BE7B"/>
      </colorScale>
    </cfRule>
  </conditionalFormatting>
  <conditionalFormatting sqref="E38:I44">
    <cfRule type="colorScale" priority="29">
      <colorScale>
        <cfvo type="min"/>
        <cfvo type="max"/>
        <color rgb="FFFFEF9C"/>
        <color rgb="FF63BE7B"/>
      </colorScale>
    </cfRule>
  </conditionalFormatting>
  <conditionalFormatting sqref="E46:I52">
    <cfRule type="colorScale" priority="26">
      <colorScale>
        <cfvo type="min"/>
        <cfvo type="max"/>
        <color rgb="FFFFEF9C"/>
        <color rgb="FF63BE7B"/>
      </colorScale>
    </cfRule>
  </conditionalFormatting>
  <conditionalFormatting sqref="E54:I60">
    <cfRule type="colorScale" priority="16">
      <colorScale>
        <cfvo type="min"/>
        <cfvo type="max"/>
        <color rgb="FFFFEF9C"/>
        <color rgb="FF63BE7B"/>
      </colorScale>
    </cfRule>
  </conditionalFormatting>
  <conditionalFormatting sqref="E62:I68">
    <cfRule type="colorScale" priority="14">
      <colorScale>
        <cfvo type="min"/>
        <cfvo type="max"/>
        <color rgb="FFFFEF9C"/>
        <color rgb="FF63BE7B"/>
      </colorScale>
    </cfRule>
  </conditionalFormatting>
  <conditionalFormatting sqref="E70:I76">
    <cfRule type="colorScale" priority="12">
      <colorScale>
        <cfvo type="min"/>
        <cfvo type="max"/>
        <color rgb="FFFFEF9C"/>
        <color rgb="FF63BE7B"/>
      </colorScale>
    </cfRule>
  </conditionalFormatting>
  <conditionalFormatting sqref="E78:I84">
    <cfRule type="colorScale" priority="10">
      <colorScale>
        <cfvo type="min"/>
        <cfvo type="max"/>
        <color rgb="FFFFEF9C"/>
        <color rgb="FF63BE7B"/>
      </colorScale>
    </cfRule>
  </conditionalFormatting>
  <conditionalFormatting sqref="E86:I93">
    <cfRule type="colorScale" priority="8">
      <colorScale>
        <cfvo type="min"/>
        <cfvo type="max"/>
        <color rgb="FFFFEF9C"/>
        <color rgb="FF63BE7B"/>
      </colorScale>
    </cfRule>
  </conditionalFormatting>
  <conditionalFormatting sqref="E95:I101">
    <cfRule type="colorScale" priority="6">
      <colorScale>
        <cfvo type="min"/>
        <cfvo type="max"/>
        <color rgb="FFFFEF9C"/>
        <color rgb="FF63BE7B"/>
      </colorScale>
    </cfRule>
  </conditionalFormatting>
  <conditionalFormatting sqref="E103:I109">
    <cfRule type="colorScale" priority="4">
      <colorScale>
        <cfvo type="min"/>
        <cfvo type="max"/>
        <color rgb="FFFFEF9C"/>
        <color rgb="FF63BE7B"/>
      </colorScale>
    </cfRule>
  </conditionalFormatting>
  <conditionalFormatting sqref="E111:I117">
    <cfRule type="colorScale" priority="2">
      <colorScale>
        <cfvo type="min"/>
        <cfvo type="max"/>
        <color rgb="FFFFEF9C"/>
        <color rgb="FF63BE7B"/>
      </colorScale>
    </cfRule>
  </conditionalFormatting>
  <conditionalFormatting sqref="E5:L16">
    <cfRule type="colorScale" priority="38">
      <colorScale>
        <cfvo type="min"/>
        <cfvo type="max"/>
        <color rgb="FFFFEF9C"/>
        <color rgb="FF63BE7B"/>
      </colorScale>
    </cfRule>
  </conditionalFormatting>
  <conditionalFormatting sqref="E21:L21">
    <cfRule type="colorScale" priority="34">
      <colorScale>
        <cfvo type="min"/>
        <cfvo type="max"/>
        <color rgb="FFFFEF9C"/>
        <color rgb="FF63BE7B"/>
      </colorScale>
    </cfRule>
  </conditionalFormatting>
  <conditionalFormatting sqref="E29:L29">
    <cfRule type="colorScale" priority="31">
      <colorScale>
        <cfvo type="min"/>
        <cfvo type="max"/>
        <color rgb="FFFFEF9C"/>
        <color rgb="FF63BE7B"/>
      </colorScale>
    </cfRule>
  </conditionalFormatting>
  <conditionalFormatting sqref="E37:L37">
    <cfRule type="colorScale" priority="30">
      <colorScale>
        <cfvo type="min"/>
        <cfvo type="max"/>
        <color rgb="FFFFEF9C"/>
        <color rgb="FF63BE7B"/>
      </colorScale>
    </cfRule>
  </conditionalFormatting>
  <conditionalFormatting sqref="E45:L45">
    <cfRule type="colorScale" priority="27">
      <colorScale>
        <cfvo type="min"/>
        <cfvo type="max"/>
        <color rgb="FFFFEF9C"/>
        <color rgb="FF63BE7B"/>
      </colorScale>
    </cfRule>
  </conditionalFormatting>
  <conditionalFormatting sqref="E53:L53">
    <cfRule type="colorScale" priority="24">
      <colorScale>
        <cfvo type="min"/>
        <cfvo type="max"/>
        <color rgb="FFFFEF9C"/>
        <color rgb="FF63BE7B"/>
      </colorScale>
    </cfRule>
  </conditionalFormatting>
  <conditionalFormatting sqref="E61:L61">
    <cfRule type="colorScale" priority="23">
      <colorScale>
        <cfvo type="min"/>
        <cfvo type="max"/>
        <color rgb="FFFFEF9C"/>
        <color rgb="FF63BE7B"/>
      </colorScale>
    </cfRule>
  </conditionalFormatting>
  <conditionalFormatting sqref="E69:L69">
    <cfRule type="colorScale" priority="22">
      <colorScale>
        <cfvo type="min"/>
        <cfvo type="max"/>
        <color rgb="FFFFEF9C"/>
        <color rgb="FF63BE7B"/>
      </colorScale>
    </cfRule>
  </conditionalFormatting>
  <conditionalFormatting sqref="E77:L77">
    <cfRule type="colorScale" priority="21">
      <colorScale>
        <cfvo type="min"/>
        <cfvo type="max"/>
        <color rgb="FFFFEF9C"/>
        <color rgb="FF63BE7B"/>
      </colorScale>
    </cfRule>
  </conditionalFormatting>
  <conditionalFormatting sqref="E85:L85">
    <cfRule type="colorScale" priority="20">
      <colorScale>
        <cfvo type="min"/>
        <cfvo type="max"/>
        <color rgb="FFFFEF9C"/>
        <color rgb="FF63BE7B"/>
      </colorScale>
    </cfRule>
  </conditionalFormatting>
  <conditionalFormatting sqref="E94:L94">
    <cfRule type="colorScale" priority="19">
      <colorScale>
        <cfvo type="min"/>
        <cfvo type="max"/>
        <color rgb="FFFFEF9C"/>
        <color rgb="FF63BE7B"/>
      </colorScale>
    </cfRule>
  </conditionalFormatting>
  <conditionalFormatting sqref="E102:L102">
    <cfRule type="colorScale" priority="18">
      <colorScale>
        <cfvo type="min"/>
        <cfvo type="max"/>
        <color rgb="FFFFEF9C"/>
        <color rgb="FF63BE7B"/>
      </colorScale>
    </cfRule>
  </conditionalFormatting>
  <conditionalFormatting sqref="E110:L110">
    <cfRule type="colorScale" priority="17">
      <colorScale>
        <cfvo type="min"/>
        <cfvo type="max"/>
        <color rgb="FFFFEF9C"/>
        <color rgb="FF63BE7B"/>
      </colorScale>
    </cfRule>
  </conditionalFormatting>
  <conditionalFormatting sqref="J22:L28">
    <cfRule type="colorScale" priority="35">
      <colorScale>
        <cfvo type="min"/>
        <cfvo type="max"/>
        <color rgb="FFFFEF9C"/>
        <color rgb="FF63BE7B"/>
      </colorScale>
    </cfRule>
  </conditionalFormatting>
  <conditionalFormatting sqref="J30:L36">
    <cfRule type="colorScale" priority="32">
      <colorScale>
        <cfvo type="min"/>
        <cfvo type="max"/>
        <color rgb="FFFFEF9C"/>
        <color rgb="FF63BE7B"/>
      </colorScale>
    </cfRule>
  </conditionalFormatting>
  <conditionalFormatting sqref="J38:L44">
    <cfRule type="colorScale" priority="28">
      <colorScale>
        <cfvo type="min"/>
        <cfvo type="max"/>
        <color rgb="FFFFEF9C"/>
        <color rgb="FF63BE7B"/>
      </colorScale>
    </cfRule>
  </conditionalFormatting>
  <conditionalFormatting sqref="J46:L52">
    <cfRule type="colorScale" priority="25">
      <colorScale>
        <cfvo type="min"/>
        <cfvo type="max"/>
        <color rgb="FFFFEF9C"/>
        <color rgb="FF63BE7B"/>
      </colorScale>
    </cfRule>
  </conditionalFormatting>
  <conditionalFormatting sqref="J54:L60">
    <cfRule type="colorScale" priority="15">
      <colorScale>
        <cfvo type="min"/>
        <cfvo type="max"/>
        <color rgb="FFFFEF9C"/>
        <color rgb="FF63BE7B"/>
      </colorScale>
    </cfRule>
  </conditionalFormatting>
  <conditionalFormatting sqref="J62:L68">
    <cfRule type="colorScale" priority="13">
      <colorScale>
        <cfvo type="min"/>
        <cfvo type="max"/>
        <color rgb="FFFFEF9C"/>
        <color rgb="FF63BE7B"/>
      </colorScale>
    </cfRule>
  </conditionalFormatting>
  <conditionalFormatting sqref="J70:L76">
    <cfRule type="colorScale" priority="11">
      <colorScale>
        <cfvo type="min"/>
        <cfvo type="max"/>
        <color rgb="FFFFEF9C"/>
        <color rgb="FF63BE7B"/>
      </colorScale>
    </cfRule>
  </conditionalFormatting>
  <conditionalFormatting sqref="J78:L84">
    <cfRule type="colorScale" priority="9">
      <colorScale>
        <cfvo type="min"/>
        <cfvo type="max"/>
        <color rgb="FFFFEF9C"/>
        <color rgb="FF63BE7B"/>
      </colorScale>
    </cfRule>
  </conditionalFormatting>
  <conditionalFormatting sqref="J86:L93">
    <cfRule type="colorScale" priority="7">
      <colorScale>
        <cfvo type="min"/>
        <cfvo type="max"/>
        <color rgb="FFFFEF9C"/>
        <color rgb="FF63BE7B"/>
      </colorScale>
    </cfRule>
  </conditionalFormatting>
  <conditionalFormatting sqref="J95:L101">
    <cfRule type="colorScale" priority="5">
      <colorScale>
        <cfvo type="min"/>
        <cfvo type="max"/>
        <color rgb="FFFFEF9C"/>
        <color rgb="FF63BE7B"/>
      </colorScale>
    </cfRule>
  </conditionalFormatting>
  <conditionalFormatting sqref="J103:L109">
    <cfRule type="colorScale" priority="3">
      <colorScale>
        <cfvo type="min"/>
        <cfvo type="max"/>
        <color rgb="FFFFEF9C"/>
        <color rgb="FF63BE7B"/>
      </colorScale>
    </cfRule>
  </conditionalFormatting>
  <conditionalFormatting sqref="J111:L117">
    <cfRule type="colorScale" priority="1">
      <colorScale>
        <cfvo type="min"/>
        <cfvo type="max"/>
        <color rgb="FFFFEF9C"/>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AE01-16E9-461E-88B1-C4072F29499B}">
  <sheetPr filterMode="1"/>
  <dimension ref="B2:Q51"/>
  <sheetViews>
    <sheetView workbookViewId="0">
      <selection activeCell="S2" sqref="S2"/>
    </sheetView>
  </sheetViews>
  <sheetFormatPr defaultColWidth="8.875" defaultRowHeight="15.95"/>
  <cols>
    <col min="2" max="2" width="12.625" customWidth="1"/>
    <col min="3" max="3" width="11.625" customWidth="1"/>
    <col min="11" max="11" width="8.875" hidden="1" customWidth="1"/>
    <col min="12" max="15" width="15.875" hidden="1" customWidth="1"/>
    <col min="16" max="16" width="8.875" hidden="1" customWidth="1"/>
    <col min="17" max="17" width="12.625" customWidth="1"/>
  </cols>
  <sheetData>
    <row r="2" spans="2:17" ht="26.1">
      <c r="B2" s="225"/>
      <c r="C2" s="312" t="s">
        <v>3904</v>
      </c>
      <c r="D2" s="313"/>
      <c r="E2" s="313"/>
      <c r="F2" s="313"/>
      <c r="G2" s="313"/>
      <c r="H2" s="313"/>
      <c r="I2" s="313"/>
      <c r="J2" s="314"/>
      <c r="K2" s="211"/>
      <c r="L2" s="306" t="s">
        <v>3905</v>
      </c>
      <c r="M2" s="306"/>
      <c r="N2" s="306"/>
      <c r="O2" s="306"/>
      <c r="P2" s="211"/>
      <c r="Q2" s="306" t="s">
        <v>3906</v>
      </c>
    </row>
    <row r="3" spans="2:17">
      <c r="B3" s="231" t="s">
        <v>3919</v>
      </c>
      <c r="C3" s="307" t="s">
        <v>3908</v>
      </c>
      <c r="D3" s="308" t="s">
        <v>3909</v>
      </c>
      <c r="E3" s="309"/>
      <c r="F3" s="309"/>
      <c r="G3" s="310"/>
      <c r="H3" s="307" t="s">
        <v>2303</v>
      </c>
      <c r="I3" s="307" t="s">
        <v>71</v>
      </c>
      <c r="J3" s="307" t="s">
        <v>123</v>
      </c>
      <c r="K3" s="214"/>
      <c r="L3" s="317" t="s">
        <v>3910</v>
      </c>
      <c r="M3" s="317" t="s">
        <v>3911</v>
      </c>
      <c r="N3" s="317" t="s">
        <v>3912</v>
      </c>
      <c r="O3" s="317" t="s">
        <v>3913</v>
      </c>
      <c r="P3" s="214"/>
      <c r="Q3" s="306"/>
    </row>
    <row r="4" spans="2:17" ht="33.950000000000003">
      <c r="B4" s="226"/>
      <c r="C4" s="307"/>
      <c r="D4" s="212" t="s">
        <v>363</v>
      </c>
      <c r="E4" s="212" t="s">
        <v>370</v>
      </c>
      <c r="F4" s="221" t="s">
        <v>394</v>
      </c>
      <c r="G4" s="223" t="s">
        <v>3915</v>
      </c>
      <c r="H4" s="307"/>
      <c r="I4" s="307"/>
      <c r="J4" s="307"/>
      <c r="K4" s="214"/>
      <c r="L4" s="318"/>
      <c r="M4" s="318"/>
      <c r="N4" s="318"/>
      <c r="O4" s="318"/>
      <c r="P4" s="214"/>
      <c r="Q4" s="306"/>
    </row>
    <row r="5" spans="2:17">
      <c r="B5" s="215" t="s">
        <v>3916</v>
      </c>
      <c r="C5" s="216" t="e" cm="1">
        <f t="array" ref="C5">SUMPRODUCT(
    --('Inventory - Public Private FMS'!#REF! &lt;&gt; 1),
    --(
        (ISNUMBER(SEARCH("Fruits", 'Inventory - Public Private FMS'!$F$165:$F$1792)))
        + (ISNUMBER(SEARCH("Vegetables", 'Inventory - Public Private FMS'!$F$165:$F$1792)))
        + (ISNUMBER(SEARCH("All food commodities", 'Inventory - Public Private FMS'!$F$165:$F$1792))) &gt; 0
    )
)</f>
        <v>#REF!</v>
      </c>
      <c r="D5" s="216" t="e" cm="1">
        <f t="array" ref="D5">SUMPRODUCT(
    --('Inventory - Public Private FMS'!#REF! &lt;&gt; 1),
    --(
        (ISNUMBER(SEARCH("Meat", 'Inventory - Public Private FMS'!$F$165:$F$1792)))
        + (ISNUMBER(SEARCH("All food commodities", 'Inventory - Public Private FMS'!$F$165:$F$1792)))
        + (ISNUMBER(SEARCH("livestock", 'Inventory - Public Private FMS'!$F$165:$F$1792)))
        + (ISNUMBER(SEARCH("Bovine", 'Inventory - Public Private FMS'!$F$165:$F$1792))) &gt; 0
    )
)</f>
        <v>#REF!</v>
      </c>
      <c r="E5" s="216" t="e" cm="1">
        <f t="array" ref="E5">SUMPRODUCT(
    --('Inventory - Public Private FMS'!#REF! &lt;&gt; 1),
    --(
        (ISNUMBER(SEARCH("Meat", 'Inventory - Public Private FMS'!$F$165:$F$1792)))
        + (ISNUMBER(SEARCH("All food commodities", 'Inventory - Public Private FMS'!$F$165:$F$1792)))
        + (ISNUMBER(SEARCH("livestock", 'Inventory - Public Private FMS'!$F$165:$F$1792)))
        + (ISNUMBER(SEARCH("Pork", 'Inventory - Public Private FMS'!$F$165:$F$1792))) &gt; 0
    )
)</f>
        <v>#REF!</v>
      </c>
      <c r="F5" s="216" t="e" cm="1">
        <f t="array" ref="F5">SUMPRODUCT(
    --('Inventory - Public Private FMS'!#REF! &lt;&gt; 1),
    --(
        (ISNUMBER(SEARCH("Meat", 'Inventory - Public Private FMS'!$F$165:$F$1792)))
        + (ISNUMBER(SEARCH("All food commodities", 'Inventory - Public Private FMS'!$F$165:$F$1792)))
        + (ISNUMBER(SEARCH("livestock", 'Inventory - Public Private FMS'!$F$165:$F$1792)))
        + (ISNUMBER(SEARCH("Poultry", 'Inventory - Public Private FMS'!$F$165:$F$1792))) &gt; 0
    )
)</f>
        <v>#REF!</v>
      </c>
      <c r="G5" s="216" t="e" cm="1">
        <f t="array" ref="G5">SUMPRODUCT(
    --('Inventory - Public Private FMS'!#REF!&lt;&gt;1),
    --(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
    )
)</f>
        <v>#REF!</v>
      </c>
      <c r="H5" s="216" t="e" cm="1">
        <f t="array" ref="H5">SUMPRODUCT(
    --('Inventory - Public Private FMS'!#REF! &lt;&gt; 1),
    --(
        (ISNUMBER(SEARCH("Eggs", 'Inventory - Public Private FMS'!$F$165:$F$1792))
        + ISNUMBER(SEARCH("All food commodities", 'Inventory - Public Private FMS'!$F$165:$F$1792)))&gt; 0
    )
)</f>
        <v>#REF!</v>
      </c>
      <c r="I5" s="216" t="e" cm="1">
        <f t="array" ref="I5">SUMPRODUCT(
    --('Inventory - Public Private FMS'!#REF! &lt;&gt; 1),
--((ISNUMBER(SEARCH("Fish", 'Inventory - Public Private FMS'!$F$165:$F$1792)))
+ (ISNUMBER(SEARCH("All food commodities", 'Inventory - Public Private FMS'!$F$165:$F$1792)))
+ (ISNUMBER(SEARCH("Aquaculture", 'Inventory - Public Private FMS'!$F$165:$F$1792))) &gt; 0))</f>
        <v>#REF!</v>
      </c>
      <c r="J5" s="216" t="e" cm="1">
        <f t="array" ref="J5">SUMPRODUCT(
    --('Inventory - Public Private FMS'!#REF! &lt;&gt; 1),
--((ISNUMBER(SEARCH("Cereals", 'Inventory - Public Private FMS'!$F$165:$F$1792)))
+ (ISNUMBER(SEARCH("All food commodities", 'Inventory - Public Private FMS'!$F$165:$F$1792))) &gt; 0))</f>
        <v>#REF!</v>
      </c>
      <c r="K5" s="214"/>
      <c r="L5" s="216" t="e" cm="1">
        <f t="array" ref="L5">SUMPRODUCT(
    --('Inventory - Public Private FMS'!#REF! &lt;&gt; 1),
--((ISNUMBER(SEARCH("Primary Production", 'Inventory - Public Private FMS'!$N$165:$N$1792)))
+ (ISNUMBER(SEARCH("All stages", 'Inventory - Public Private FMS'!$N$165:$N$1792))) &gt; 0))</f>
        <v>#REF!</v>
      </c>
      <c r="M5" s="216" t="e" cm="1">
        <f t="array" ref="M5">SUMPRODUCT(
    --('Inventory - Public Private FMS'!#REF! &lt;&gt; 1),
--((ISNUMBER(SEARCH("Processing &amp; Manufacturing", 'Inventory - Public Private FMS'!$N$165:$N$1792)))
+ (ISNUMBER(SEARCH("All stages", 'Inventory - Public Private FMS'!$N$165:$N$1792))) &gt; 0))</f>
        <v>#REF!</v>
      </c>
      <c r="N5" s="216" t="e" cm="1">
        <f t="array" ref="N5">SUMPRODUCT(
    --('Inventory - Public Private FMS'!#REF! &lt;&gt; 1),
--((ISNUMBER(SEARCH("Retail", 'Inventory - Public Private FMS'!$N$165:$N$1792)))
+ (ISNUMBER(SEARCH("All stages", 'Inventory - Public Private FMS'!$N$165:$N$1792))) &gt; 0))</f>
        <v>#REF!</v>
      </c>
      <c r="O5" s="216" t="e" cm="1">
        <f t="array" ref="O5">SUMPRODUCT(
    --('Inventory - Public Private FMS'!#REF! &lt;&gt; 1),
--((ISNUMBER(SEARCH("Food services", 'Inventory - Public Private FMS'!$N$165:$N$1792)))
+ (ISNUMBER(SEARCH("All stages", 'Inventory - Public Private FMS'!$N$165:$N$1792))) &gt; 0))</f>
        <v>#REF!</v>
      </c>
      <c r="P5" s="214"/>
      <c r="Q5" s="216" t="e" cm="1">
        <f t="array" ref="Q5">SUMPRODUCT(--('Inventory - Public Private FMS'!#REF! &lt;&gt; 1))</f>
        <v>#REF!</v>
      </c>
    </row>
    <row r="6" spans="2:17">
      <c r="B6" s="126" t="s">
        <v>74</v>
      </c>
      <c r="C6" s="218" t="e" cm="1">
        <f t="array" ref="C6">SUMPRODUCT(
    --('Inventory - Public Private FMS'!#REF! &lt;&gt; 1),
--(ISNUMBER(SEARCH("Private",'Inventory - Public Private FMS'!$L$165:$L$1792))
*((ISNUMBER(SEARCH("Fruits",'Inventory - Public Private FMS'!$F$165:$F$1792))
+ISNUMBER(SEARCH("Vegetables",'Inventory - Public Private FMS'!$F$165:$F$1792))
+ISNUMBER(SEARCH("All food commodities",'Inventory - Public Private FMS'!$F$165:$F$1792))&gt;0))))</f>
        <v>#REF!</v>
      </c>
      <c r="D6" s="218" t="e" cm="1">
        <f t="array" ref="D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+ISNUMBER(SEARCH("Bovine",'Inventory - Public Private FMS'!$F$165:$F$1792))&gt;0))))</f>
        <v>#REF!</v>
      </c>
      <c r="E6" s="218" t="e" cm="1">
        <f t="array" ref="E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+ISNUMBER(SEARCH("Pork",'Inventory - Public Private FMS'!$F$165:$F$1792))&gt;0))))</f>
        <v>#REF!</v>
      </c>
      <c r="F6" s="218" t="e" cm="1">
        <f t="array" ref="F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+ISNUMBER(SEARCH("Poultry",'Inventory - Public Private FMS'!$F$165:$F$1792))&gt;0))))</f>
        <v>#REF!</v>
      </c>
      <c r="G6" s="218" t="e" cm="1">
        <f t="array" ref="G6">SUMPRODUCT(
    --('Inventory - Public Private FMS'!#REF! &lt;&gt; 1),
--(ISNUMBER(SEARCH("Private",'Inventory - Public Private FMS'!$L$165:$L$1792))
*((ISNUMBER(SEARCH("Meat",'Inventory - Public Private FMS'!$F$165:$F$1792))
+ISNUMBER(SEARCH("All food commodities",'Inventory - Public Private FMS'!$F$165:$F$1792))
+ISNUMBER(SEARCH("livestock",'Inventory - Public Private FMS'!$F$165:$F$1792))
+ISNUMBER(SEARCH("Poultry",'Inventory - Public Private FMS'!$F$165:$F$1792))
+ISNUMBER(SEARCH("Bovine",'Inventory - Public Private FMS'!$F$165:$F$1792))
+ISNUMBER(SEARCH("Pork",'Inventory - Public Private FMS'!$F$165:$F$1792))&gt;0))))</f>
        <v>#REF!</v>
      </c>
      <c r="H6" s="218" t="e" cm="1">
        <f t="array" ref="H6">SUMPRODUCT(
    --('Inventory - Public Private FMS'!#REF! &lt;&gt; 1),
--(ISNUMBER(SEARCH("Private",'Inventory - Public Private FMS'!$L$165:$L$1792))
*((ISNUMBER(SEARCH("Eggs",'Inventory - Public Private FMS'!$F$165:$F$1792))
+ISNUMBER(SEARCH("All food commodities",'Inventory - Public Private FMS'!$F$165:$F$1792))&gt;0))))</f>
        <v>#REF!</v>
      </c>
      <c r="I6" s="218" t="e" cm="1">
        <f t="array" ref="I6">SUMPRODUCT(
--('Inventory - Public Private FMS'!#REF!&lt;&gt;1),
--(ISNUMBER(SEARCH("Private",'Inventory - Public Private FMS'!$L$165:$L$1792))
*((ISNUMBER(SEARCH("Fish",'Inventory - Public Private FMS'!$F$165:$F$1792))
+ISNUMBER(SEARCH("All food commodities",'Inventory - Public Private FMS'!$F$165:$F$1792))
+ISNUMBER(SEARCH("Aquaculture",'Inventory - Public Private FMS'!$F$165:$F$1792))&gt;0))))</f>
        <v>#REF!</v>
      </c>
      <c r="J6" s="218" t="e" cm="1">
        <f t="array" ref="J6">SUMPRODUCT(
--('Inventory - Public Private FMS'!#REF!&lt;&gt;1),
--(ISNUMBER(SEARCH("Private",'Inventory - Public Private FMS'!$L$165:$L$1792))
*((ISNUMBER(SEARCH("Cereals",'Inventory - Public Private FMS'!$F$165:$F$1792))
+ISNUMBER(SEARCH("All food commodities",'Inventory - Public Private FMS'!$F$165:$F$1792))&gt;0))))</f>
        <v>#REF!</v>
      </c>
      <c r="K6" s="214"/>
      <c r="L6" s="218" t="e" cm="1">
        <f t="array" ref="L6">SUMPRODUCT(
    --('Inventory - Public Private FMS'!#REF! &lt;&gt; 1),
--(ISNUMBER(SEARCH("Private",'Inventory - Public Private FMS'!$L$165:$L$1792))
*((ISNUMBER(SEARCH("Primary Production",'Inventory - Public Private FMS'!$N$165:$N$1792))
+ISNUMBER(SEARCH("All stages",'Inventory - Public Private FMS'!$N$165:$N$1792))&gt;0))))</f>
        <v>#REF!</v>
      </c>
      <c r="M6" s="218" t="e" cm="1">
        <f t="array" ref="M6">SUMPRODUCT(
    --('Inventory - Public Private FMS'!#REF! &lt;&gt; 1),
--(ISNUMBER(SEARCH("Private",'Inventory - Public Private FMS'!$L$165:$L$1792))
*((ISNUMBER(SEARCH("Processing &amp; Manufacturing",'Inventory - Public Private FMS'!$N$165:$N$1792))
+ISNUMBER(SEARCH("All stages",'Inventory - Public Private FMS'!$N$165:$N$1792))&gt;0))))</f>
        <v>#REF!</v>
      </c>
      <c r="N6" s="218" t="e" cm="1">
        <f t="array" ref="N6">SUMPRODUCT(
    --('Inventory - Public Private FMS'!#REF! &lt;&gt; 1),
--(ISNUMBER(SEARCH("Private",'Inventory - Public Private FMS'!$L$165:$L$1792))
*((ISNUMBER(SEARCH("Retail",'Inventory - Public Private FMS'!$N$165:$N$1792))
+ISNUMBER(SEARCH("All stages",'Inventory - Public Private FMS'!$N$165:$N$1792))&gt;0))))</f>
        <v>#REF!</v>
      </c>
      <c r="O6" s="218" t="e" cm="1">
        <f t="array" ref="O6">SUMPRODUCT(
    --('Inventory - Public Private FMS'!#REF! &lt;&gt; 1),
--(ISNUMBER(SEARCH("Private",'Inventory - Public Private FMS'!$L$165:$L$1792))
*((ISNUMBER(SEARCH("Food services",'Inventory - Public Private FMS'!$N$165:$N$1792))
+ISNUMBER(SEARCH("All stages",'Inventory - Public Private FMS'!$N$165:$N$1792))&gt;0))))</f>
        <v>#REF!</v>
      </c>
      <c r="P6" s="217"/>
      <c r="Q6" s="218" t="e" cm="1">
        <f t="array" ref="Q6">SUMPRODUCT(--('Inventory - Public Private FMS'!$L$165:$L$1792 = "Private"),
--('Inventory - Public Private FMS'!#REF! &lt;&gt; 1))</f>
        <v>#REF!</v>
      </c>
    </row>
    <row r="7" spans="2:17" ht="26.1">
      <c r="B7" s="225" t="s">
        <v>74</v>
      </c>
      <c r="C7" s="313" t="s">
        <v>3904</v>
      </c>
      <c r="D7" s="313"/>
      <c r="E7" s="313"/>
      <c r="F7" s="313"/>
      <c r="G7" s="313"/>
      <c r="H7" s="313"/>
      <c r="I7" s="313"/>
      <c r="J7" s="314"/>
      <c r="K7" s="211"/>
      <c r="L7" s="312" t="s">
        <v>3905</v>
      </c>
      <c r="M7" s="313"/>
      <c r="N7" s="313"/>
      <c r="O7" s="314"/>
      <c r="P7" s="211"/>
      <c r="Q7" s="319" t="s">
        <v>3939</v>
      </c>
    </row>
    <row r="8" spans="2:17" ht="15.6" customHeight="1">
      <c r="B8" s="285"/>
      <c r="C8" s="317" t="s">
        <v>3908</v>
      </c>
      <c r="D8" s="308" t="s">
        <v>3909</v>
      </c>
      <c r="E8" s="309"/>
      <c r="F8" s="310"/>
      <c r="G8" s="317" t="s">
        <v>3915</v>
      </c>
      <c r="H8" s="315" t="s">
        <v>2303</v>
      </c>
      <c r="I8" s="315" t="s">
        <v>71</v>
      </c>
      <c r="J8" s="315" t="s">
        <v>123</v>
      </c>
      <c r="K8" s="214"/>
      <c r="L8" s="317" t="s">
        <v>3910</v>
      </c>
      <c r="M8" s="317" t="s">
        <v>3911</v>
      </c>
      <c r="N8" s="317" t="s">
        <v>3912</v>
      </c>
      <c r="O8" s="317" t="s">
        <v>3940</v>
      </c>
      <c r="P8" s="214"/>
      <c r="Q8" s="306"/>
    </row>
    <row r="9" spans="2:17" ht="33.6" customHeight="1">
      <c r="B9" s="226"/>
      <c r="C9" s="318"/>
      <c r="D9" s="213" t="s">
        <v>363</v>
      </c>
      <c r="E9" s="213" t="s">
        <v>370</v>
      </c>
      <c r="F9" s="213" t="s">
        <v>394</v>
      </c>
      <c r="G9" s="318"/>
      <c r="H9" s="316"/>
      <c r="I9" s="316"/>
      <c r="J9" s="316"/>
      <c r="K9" s="214"/>
      <c r="L9" s="318"/>
      <c r="M9" s="318"/>
      <c r="N9" s="318"/>
      <c r="O9" s="318"/>
      <c r="P9" s="214"/>
      <c r="Q9" s="306"/>
    </row>
    <row r="10" spans="2:17">
      <c r="B10" s="240" t="s">
        <v>299</v>
      </c>
      <c r="C10" s="246" cm="1">
        <f t="array" ref="C10">SUMPRODUCT(--(ISNUMBER(SEARCH("Austria",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1</v>
      </c>
      <c r="D10" s="247" cm="1">
        <f t="array" ref="D10">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0" s="247" cm="1">
        <f t="array" ref="E10">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0" s="247" cm="1">
        <f t="array" ref="F10">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0" s="247" cm="1">
        <f t="array" ref="G10">SUMPRODUCT(--(ISNUMBER(SEARCH("Austria",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0" s="247" cm="1">
        <f t="array" ref="H10">SUMPRODUCT(--(ISNUMBER(SEARCH("Austria", 'Inventory - Public Private FMS'!$J$17:$J$1792))
* ISNUMBER(SEARCH("Private", 'Inventory - Public Private FMS'!$L$17:$L$1792))
* ((ISNUMBER(SEARCH("Eggs", 'Inventory - Public Private FMS'!$F$17:$F$1792)))
+ (ISNUMBER(SEARCH("All food commodities", 'Inventory - Public Private FMS'!$F$17:$F$1792))) &gt; 0)))</f>
        <v>0</v>
      </c>
      <c r="I10" s="247" cm="1">
        <f t="array" ref="I10">SUMPRODUCT(--(ISNUMBER(SEARCH("Austria", 'Inventory - Public Private FMS'!$J$17:$J$1792))
* ISNUMBER(SEARCH("Private", 'Inventory - Public Private FMS'!$L$17:$L$1792))
* ((ISNUMBER(SEARCH("Fish", 'Inventory - Public Private FMS'!$F$17:$F$1792)))
+ (ISNUMBER(SEARCH("All food commodities", 'Inventory - Public Private FMS'!$F$17:$F$1792))) &gt; 0)))</f>
        <v>0</v>
      </c>
      <c r="J10" s="247" cm="1">
        <f t="array" ref="J10">SUMPRODUCT(--(ISNUMBER(SEARCH("Austria", 'Inventory - Public Private FMS'!$J$17:$J$1792))
* ISNUMBER(SEARCH("Private", 'Inventory - Public Private FMS'!$L$17:$L$1792))
* ((ISNUMBER(SEARCH("Cereals", 'Inventory - Public Private FMS'!$F$17:$F$1792)))
+ (ISNUMBER(SEARCH("All food commodities", 'Inventory - Public Private FMS'!$F$17:$F$1792))) &gt; 0)))</f>
        <v>0</v>
      </c>
      <c r="K10" s="224"/>
      <c r="L10" s="247" cm="1">
        <f t="array" ref="L10">SUMPRODUCT(--(ISNUMBER(SEARCH("Austria", 'Inventory - Public Private FMS'!$J$17:$J$1792))
* ISNUMBER(SEARCH("Private", 'Inventory - Public Private FMS'!$L$17:$L$1792))
* ((ISNUMBER(SEARCH("Primary Production", 'Inventory - Public Private FMS'!$N$17:$N$1792)))
+ (ISNUMBER(SEARCH("All Stages", 'Inventory - Public Private FMS'!$N$17:$N$1792))) &gt; 0)))</f>
        <v>1</v>
      </c>
      <c r="M10" s="247" cm="1">
        <f t="array" ref="M10">SUMPRODUCT(--(ISNUMBER(SEARCH("Austria", 'Inventory - Public Private FMS'!$J$17:$J$1792))
* ISNUMBER(SEARCH("Private", 'Inventory - Public Private FMS'!$L$17:$L$1792))
* ((ISNUMBER(SEARCH("Processing &amp; Manufacturing", 'Inventory - Public Private FMS'!$N$17:$N$1792)))
+ (ISNUMBER(SEARCH("All Stages", 'Inventory - Public Private FMS'!$N$17:$N$1792))) &gt; 0)))</f>
        <v>0</v>
      </c>
      <c r="N10" s="247" cm="1">
        <f t="array" ref="N10">SUMPRODUCT(--(ISNUMBER(SEARCH("Austria", 'Inventory - Public Private FMS'!$J$17:$J$1792))
* ISNUMBER(SEARCH("Private", 'Inventory - Public Private FMS'!$L$17:$L$1792))
* ((ISNUMBER(SEARCH("Retail", 'Inventory - Public Private FMS'!$N$17:$N$1792)))
+ (ISNUMBER(SEARCH("All Stages", 'Inventory - Public Private FMS'!$N$17:$N$1792))) &gt; 0)))</f>
        <v>0</v>
      </c>
      <c r="O10" s="247" cm="1">
        <f t="array" ref="O10">SUMPRODUCT(--(ISNUMBER(SEARCH("Austria", 'Inventory - Public Private FMS'!$J$17:$J$1792))
* ISNUMBER(SEARCH("Private", 'Inventory - Public Private FMS'!$L$17:$L$1792))
* ((ISNUMBER(SEARCH("Food services", 'Inventory - Public Private FMS'!$N$17:$N$1792)))
+ (ISNUMBER(SEARCH("All Stages", 'Inventory - Public Private FMS'!$N$17:$N$1792))) &gt; 0)))</f>
        <v>0</v>
      </c>
      <c r="P10" s="224"/>
      <c r="Q10" s="246" cm="1">
        <f t="array" ref="Q10">SUMPRODUCT(--(ISNUMBER(SEARCH("Austria",'Inventory - Public Private FMS'!$J$17:$J$1792))
*(ISNUMBER(SEARCH("Private",'Inventory - Public Private FMS'!$L$17:$L$1792)))&gt;0))</f>
        <v>1</v>
      </c>
    </row>
    <row r="11" spans="2:17">
      <c r="B11" s="240" t="s">
        <v>306</v>
      </c>
      <c r="C11" s="246" cm="1">
        <f t="array" ref="C11">SUMPRODUCT(--(ISNUMBER(SEARCH("Germany",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18</v>
      </c>
      <c r="D11" s="247" cm="1">
        <f t="array" ref="D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E11" s="247" cm="1">
        <f t="array" ref="E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F11" s="247" cm="1">
        <f t="array" ref="F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G11" s="247" cm="1">
        <f t="array" ref="G11">SUMPRODUCT(--(ISNUMBER(SEARCH("Germany",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v>
      </c>
      <c r="H11" s="247" cm="1">
        <f t="array" ref="H11">SUMPRODUCT(--(ISNUMBER(SEARCH("Germany", 'Inventory - Public Private FMS'!$J$17:$J$1792))
* ISNUMBER(SEARCH("Private", 'Inventory - Public Private FMS'!$L$17:$L$1792))
* ((ISNUMBER(SEARCH("Eggs", 'Inventory - Public Private FMS'!$F$17:$F$1792)))
+ (ISNUMBER(SEARCH("All food commodities", 'Inventory - Public Private FMS'!$F$17:$F$1792))) &gt; 0)))</f>
        <v>0</v>
      </c>
      <c r="I11" s="247" cm="1">
        <f t="array" ref="I11">SUMPRODUCT(--(ISNUMBER(SEARCH("Germany", 'Inventory - Public Private FMS'!$J$17:$J$1792))
* ISNUMBER(SEARCH("Private", 'Inventory - Public Private FMS'!$L$17:$L$1792))
* ((ISNUMBER(SEARCH("Fish", 'Inventory - Public Private FMS'!$F$17:$F$1792)))
+ (ISNUMBER(SEARCH("All food commodities", 'Inventory - Public Private FMS'!$F$17:$F$1792))) &gt; 0)))</f>
        <v>0</v>
      </c>
      <c r="J11" s="247" cm="1">
        <f t="array" ref="J11">SUMPRODUCT(--(ISNUMBER(SEARCH("Germany", 'Inventory - Public Private FMS'!$J$17:$J$1792))
* ISNUMBER(SEARCH("Private", 'Inventory - Public Private FMS'!$L$17:$L$1792))
* ((ISNUMBER(SEARCH("Cereals", 'Inventory - Public Private FMS'!$F$17:$F$1792)))
+ (ISNUMBER(SEARCH("All food commodities", 'Inventory - Public Private FMS'!$F$17:$F$1792))) &gt; 0)))</f>
        <v>0</v>
      </c>
      <c r="K11" s="224"/>
      <c r="L11" s="247" cm="1">
        <f t="array" ref="L11">SUMPRODUCT(--(ISNUMBER(SEARCH("Germany", 'Inventory - Public Private FMS'!$J$17:$J$1792))
* ISNUMBER(SEARCH("Private", 'Inventory - Public Private FMS'!$L$17:$L$1792))
* ((ISNUMBER(SEARCH("Primary Production", 'Inventory - Public Private FMS'!$N$17:$N$1792)))
+ (ISNUMBER(SEARCH("All Stages", 'Inventory - Public Private FMS'!$N$17:$N$1792))) &gt; 0)))</f>
        <v>1</v>
      </c>
      <c r="M11" s="247" cm="1">
        <f t="array" ref="M11">SUMPRODUCT(--(ISNUMBER(SEARCH("Germany", 'Inventory - Public Private FMS'!$J$17:$J$1792))
* ISNUMBER(SEARCH("Private", 'Inventory - Public Private FMS'!$L$17:$L$1792))
* ((ISNUMBER(SEARCH("Processing &amp; Manufacturing", 'Inventory - Public Private FMS'!$N$17:$N$1792)))
+ (ISNUMBER(SEARCH("All Stages", 'Inventory - Public Private FMS'!$N$17:$N$1792))) &gt; 0)))</f>
        <v>1</v>
      </c>
      <c r="N11" s="247" cm="1">
        <f t="array" ref="N11">SUMPRODUCT(--(ISNUMBER(SEARCH("Germany", 'Inventory - Public Private FMS'!$J$17:$J$1792))
* ISNUMBER(SEARCH("Private", 'Inventory - Public Private FMS'!$L$17:$L$1792))
* ((ISNUMBER(SEARCH("Retail", 'Inventory - Public Private FMS'!$N$17:$N$1792)))
+ (ISNUMBER(SEARCH("All Stages", 'Inventory - Public Private FMS'!$N$17:$N$1792))) &gt; 0)))</f>
        <v>17</v>
      </c>
      <c r="O11" s="247" cm="1">
        <f t="array" ref="O11">SUMPRODUCT(--(ISNUMBER(SEARCH("Germany", 'Inventory - Public Private FMS'!$J$17:$J$1792))
* ISNUMBER(SEARCH("Private", 'Inventory - Public Private FMS'!$L$17:$L$1792))
* ((ISNUMBER(SEARCH("Food services", 'Inventory - Public Private FMS'!$N$17:$N$1792)))
+ (ISNUMBER(SEARCH("All Stages", 'Inventory - Public Private FMS'!$N$17:$N$1792))) &gt; 0)))</f>
        <v>0</v>
      </c>
      <c r="P11" s="224"/>
      <c r="Q11" s="246" cm="1">
        <f t="array" ref="Q11">SUMPRODUCT(--(ISNUMBER(SEARCH("Germany",'Inventory - Public Private FMS'!$J$17:$J$1792))
*(ISNUMBER(SEARCH("Private",'Inventory - Public Private FMS'!$L$17:$L$1792)))&gt;0))</f>
        <v>18</v>
      </c>
    </row>
    <row r="12" spans="2:17">
      <c r="B12" s="240" t="s">
        <v>365</v>
      </c>
      <c r="C12" s="246" cm="1">
        <f t="array" ref="C12">SUMPRODUCT(--(ISNUMBER(SEARCH("Belgium",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7</v>
      </c>
      <c r="D12" s="247" cm="1">
        <f t="array" ref="D12">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12</v>
      </c>
      <c r="E12" s="247" cm="1">
        <f t="array" ref="E12">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12</v>
      </c>
      <c r="F12" s="247" cm="1">
        <f t="array" ref="F12">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3</v>
      </c>
      <c r="G12" s="247" cm="1">
        <f t="array" ref="G12">SUMPRODUCT(--(ISNUMBER(SEARCH("Belgium",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23</v>
      </c>
      <c r="H12" s="247" cm="1">
        <f t="array" ref="H12">SUMPRODUCT(--(ISNUMBER(SEARCH("Belgium", 'Inventory - Public Private FMS'!$J$17:$J$1792))
* ISNUMBER(SEARCH("Private", 'Inventory - Public Private FMS'!$L$17:$L$1792))
* ((ISNUMBER(SEARCH("Eggs", 'Inventory - Public Private FMS'!$F$17:$F$1792)))
+ (ISNUMBER(SEARCH("All food commodities", 'Inventory - Public Private FMS'!$F$17:$F$1792))) &gt; 0)))</f>
        <v>1</v>
      </c>
      <c r="I12" s="247" cm="1">
        <f t="array" ref="I12">SUMPRODUCT(--(ISNUMBER(SEARCH("Belgium", 'Inventory - Public Private FMS'!$J$17:$J$1792))
* ISNUMBER(SEARCH("Private", 'Inventory - Public Private FMS'!$L$17:$L$1792))
* ((ISNUMBER(SEARCH("Fish", 'Inventory - Public Private FMS'!$F$17:$F$1792)))
+ (ISNUMBER(SEARCH("All food commodities", 'Inventory - Public Private FMS'!$F$17:$F$1792))) &gt; 0)))</f>
        <v>1</v>
      </c>
      <c r="J12" s="247" cm="1">
        <f t="array" ref="J12">SUMPRODUCT(--(ISNUMBER(SEARCH("Belgium", 'Inventory - Public Private FMS'!$J$17:$J$1792))
* ISNUMBER(SEARCH("Private", 'Inventory - Public Private FMS'!$L$17:$L$1792))
* ((ISNUMBER(SEARCH("Cereals", 'Inventory - Public Private FMS'!$F$17:$F$1792)))
+ (ISNUMBER(SEARCH("All food commodities", 'Inventory - Public Private FMS'!$F$17:$F$1792))) &gt; 0)))</f>
        <v>2</v>
      </c>
      <c r="K12" s="224"/>
      <c r="L12" s="247" cm="1">
        <f t="array" ref="L12">SUMPRODUCT(--(ISNUMBER(SEARCH("Belgium", 'Inventory - Public Private FMS'!$J$17:$J$1792))
* ISNUMBER(SEARCH("Private", 'Inventory - Public Private FMS'!$L$17:$L$1792))
* ((ISNUMBER(SEARCH("Primary Production", 'Inventory - Public Private FMS'!$N$17:$N$1792)))
+ (ISNUMBER(SEARCH("All Stages", 'Inventory - Public Private FMS'!$N$17:$N$1792))) &gt; 0)))</f>
        <v>24</v>
      </c>
      <c r="M12" s="247" cm="1">
        <f t="array" ref="M12">SUMPRODUCT(--(ISNUMBER(SEARCH("Belgium", 'Inventory - Public Private FMS'!$J$17:$J$1792))
* ISNUMBER(SEARCH("Private", 'Inventory - Public Private FMS'!$L$17:$L$1792))
* ((ISNUMBER(SEARCH("Processing &amp; Manufacturing", 'Inventory - Public Private FMS'!$N$17:$N$1792)))
+ (ISNUMBER(SEARCH("All Stages", 'Inventory - Public Private FMS'!$N$17:$N$1792))) &gt; 0)))</f>
        <v>9</v>
      </c>
      <c r="N12" s="247" cm="1">
        <f t="array" ref="N12">SUMPRODUCT(--(ISNUMBER(SEARCH("Belgium", 'Inventory - Public Private FMS'!$J$17:$J$1792))
* ISNUMBER(SEARCH("Private", 'Inventory - Public Private FMS'!$L$17:$L$1792))
* ((ISNUMBER(SEARCH("Retail", 'Inventory - Public Private FMS'!$N$17:$N$1792)))
+ (ISNUMBER(SEARCH("All Stages", 'Inventory - Public Private FMS'!$N$17:$N$1792))) &gt; 0)))</f>
        <v>1</v>
      </c>
      <c r="O12" s="247" cm="1">
        <f t="array" ref="O12">SUMPRODUCT(--(ISNUMBER(SEARCH("Belgium", 'Inventory - Public Private FMS'!$J$17:$J$1792))
* ISNUMBER(SEARCH("Private", 'Inventory - Public Private FMS'!$L$17:$L$1792))
* ((ISNUMBER(SEARCH("Food services", 'Inventory - Public Private FMS'!$N$17:$N$1792)))
+ (ISNUMBER(SEARCH("All Stages", 'Inventory - Public Private FMS'!$N$17:$N$1792))) &gt; 0)))</f>
        <v>1</v>
      </c>
      <c r="P12" s="224"/>
      <c r="Q12" s="255" cm="1">
        <f t="array" ref="Q12">SUMPRODUCT(--(ISNUMBER(SEARCH("Belgium",'Inventory - Public Private FMS'!$J$17:$J$1792))
*(ISNUMBER(SEARCH("Private",'Inventory - Public Private FMS'!$L$17:$L$1792)))&gt;0))</f>
        <v>29</v>
      </c>
    </row>
    <row r="13" spans="2:17" hidden="1">
      <c r="B13" s="240" t="s">
        <v>2827</v>
      </c>
      <c r="C13" s="246" cm="1">
        <f t="array" ref="C13">SUMPRODUCT(--(ISNUMBER(SEARCH("Bulgaria",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13" s="247" cm="1">
        <f t="array" ref="D13">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3" s="247" cm="1">
        <f t="array" ref="E13">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3" s="247" cm="1">
        <f t="array" ref="F13">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3" s="247" cm="1">
        <f t="array" ref="G13">SUMPRODUCT(--(ISNUMBER(SEARCH("Bulgaria",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3" s="247" cm="1">
        <f t="array" ref="H13">SUMPRODUCT(--(ISNUMBER(SEARCH("Bulgaria", 'Inventory - Public Private FMS'!$J$17:$J$1792))
* ISNUMBER(SEARCH("Private", 'Inventory - Public Private FMS'!$L$17:$L$1792))
* ((ISNUMBER(SEARCH("Eggs", 'Inventory - Public Private FMS'!$F$17:$F$1792)))
+ (ISNUMBER(SEARCH("All food commodities", 'Inventory - Public Private FMS'!$F$17:$F$1792))) &gt; 0)))</f>
        <v>0</v>
      </c>
      <c r="I13" s="247" cm="1">
        <f t="array" ref="I13">SUMPRODUCT(--(ISNUMBER(SEARCH("Bulgaria", 'Inventory - Public Private FMS'!$J$17:$J$1792))
* ISNUMBER(SEARCH("Private", 'Inventory - Public Private FMS'!$L$17:$L$1792))
* ((ISNUMBER(SEARCH("Fish", 'Inventory - Public Private FMS'!$F$17:$F$1792)))
+ (ISNUMBER(SEARCH("All food commodities", 'Inventory - Public Private FMS'!$F$17:$F$1792))) &gt; 0)))</f>
        <v>0</v>
      </c>
      <c r="J13" s="247" cm="1">
        <f t="array" ref="J13">SUMPRODUCT(--(ISNUMBER(SEARCH("Bulgaria", 'Inventory - Public Private FMS'!$J$17:$J$1792))
* ISNUMBER(SEARCH("Private", 'Inventory - Public Private FMS'!$L$17:$L$1792))
* ((ISNUMBER(SEARCH("Cereals", 'Inventory - Public Private FMS'!$F$17:$F$1792)))
+ (ISNUMBER(SEARCH("All food commodities", 'Inventory - Public Private FMS'!$F$17:$F$1792))) &gt; 0)))</f>
        <v>0</v>
      </c>
      <c r="K13" s="224"/>
      <c r="L13" s="247" cm="1">
        <f t="array" ref="L13">SUMPRODUCT(--(ISNUMBER(SEARCH("Bulgaria", 'Inventory - Public Private FMS'!$J$17:$J$1792))
* ISNUMBER(SEARCH("Private", 'Inventory - Public Private FMS'!$L$17:$L$1792))
* ((ISNUMBER(SEARCH("Primary Production", 'Inventory - Public Private FMS'!$N$17:$N$1792)))
+ (ISNUMBER(SEARCH("All Stages", 'Inventory - Public Private FMS'!$N$17:$N$1792))) &gt; 0)))</f>
        <v>0</v>
      </c>
      <c r="M13" s="247" cm="1">
        <f t="array" ref="M13">SUMPRODUCT(--(ISNUMBER(SEARCH("Bulgaria", 'Inventory - Public Private FMS'!$J$17:$J$1792))
* ISNUMBER(SEARCH("Private", 'Inventory - Public Private FMS'!$L$17:$L$1792))
* ((ISNUMBER(SEARCH("Processing &amp; Manufacturing", 'Inventory - Public Private FMS'!$N$17:$N$1792)))
+ (ISNUMBER(SEARCH("All Stages", 'Inventory - Public Private FMS'!$N$17:$N$1792))) &gt; 0)))</f>
        <v>0</v>
      </c>
      <c r="N13" s="247" cm="1">
        <f t="array" ref="N13">SUMPRODUCT(--(ISNUMBER(SEARCH("Bulgaria", 'Inventory - Public Private FMS'!$J$17:$J$1792))
* ISNUMBER(SEARCH("Private", 'Inventory - Public Private FMS'!$L$17:$L$1792))
* ((ISNUMBER(SEARCH("Retail", 'Inventory - Public Private FMS'!$N$17:$N$1792)))
+ (ISNUMBER(SEARCH("All Stages", 'Inventory - Public Private FMS'!$N$17:$N$1792))) &gt; 0)))</f>
        <v>0</v>
      </c>
      <c r="O13" s="247" cm="1">
        <f t="array" ref="O13">SUMPRODUCT(--(ISNUMBER(SEARCH("Bulgaria", 'Inventory - Public Private FMS'!$J$17:$J$1792))
* ISNUMBER(SEARCH("Private", 'Inventory - Public Private FMS'!$L$17:$L$1792))
* ((ISNUMBER(SEARCH("Food services", 'Inventory - Public Private FMS'!$N$17:$N$1792)))
+ (ISNUMBER(SEARCH("All Stages", 'Inventory - Public Private FMS'!$N$17:$N$1792))) &gt; 0)))</f>
        <v>0</v>
      </c>
      <c r="P13" s="224"/>
      <c r="Q13" s="246" cm="1">
        <f t="array" ref="Q13">SUMPRODUCT(--(ISNUMBER(SEARCH("Bulgaria",'Inventory - Public Private FMS'!$J$17:$J$1792))
*(ISNUMBER(SEARCH("Private",'Inventory - Public Private FMS'!$L$17:$L$1792)))&gt;0))</f>
        <v>0</v>
      </c>
    </row>
    <row r="14" spans="2:17" hidden="1">
      <c r="B14" s="240" t="s">
        <v>3117</v>
      </c>
      <c r="C14" s="246" cm="1">
        <f t="array" ref="C14">SUMPRODUCT(--(ISNUMBER(SEARCH("Croatia",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14" s="247" cm="1">
        <f t="array" ref="D14">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4" s="247" cm="1">
        <f t="array" ref="E14">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4" s="247" cm="1">
        <f t="array" ref="F14">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4" s="247" cm="1">
        <f t="array" ref="G14">SUMPRODUCT(--(ISNUMBER(SEARCH("Croatia",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4" s="247" cm="1">
        <f t="array" ref="H14">SUMPRODUCT(--(ISNUMBER(SEARCH("Croatia", 'Inventory - Public Private FMS'!$J$17:$J$1792))
* ISNUMBER(SEARCH("Private", 'Inventory - Public Private FMS'!$L$17:$L$1792))
* ((ISNUMBER(SEARCH("Eggs", 'Inventory - Public Private FMS'!$F$17:$F$1792)))
+ (ISNUMBER(SEARCH("All food commodities", 'Inventory - Public Private FMS'!$F$17:$F$1792))) &gt; 0)))</f>
        <v>0</v>
      </c>
      <c r="I14" s="247" cm="1">
        <f t="array" ref="I14">SUMPRODUCT(--(ISNUMBER(SEARCH("Croatia", 'Inventory - Public Private FMS'!$J$17:$J$1792))
* ISNUMBER(SEARCH("Private", 'Inventory - Public Private FMS'!$L$17:$L$1792))
* ((ISNUMBER(SEARCH("Fish", 'Inventory - Public Private FMS'!$F$17:$F$1792)))
+ (ISNUMBER(SEARCH("All food commodities", 'Inventory - Public Private FMS'!$F$17:$F$1792))) &gt; 0)))</f>
        <v>0</v>
      </c>
      <c r="J14" s="247" cm="1">
        <f t="array" ref="J14">SUMPRODUCT(--(ISNUMBER(SEARCH("Croatia", 'Inventory - Public Private FMS'!$J$17:$J$1792))
* ISNUMBER(SEARCH("Private", 'Inventory - Public Private FMS'!$L$17:$L$1792))
* ((ISNUMBER(SEARCH("Cereals", 'Inventory - Public Private FMS'!$F$17:$F$1792)))
+ (ISNUMBER(SEARCH("All food commodities", 'Inventory - Public Private FMS'!$F$17:$F$1792))) &gt; 0)))</f>
        <v>0</v>
      </c>
      <c r="K14" s="224"/>
      <c r="L14" s="247" cm="1">
        <f t="array" ref="L14">SUMPRODUCT(--(ISNUMBER(SEARCH("Croatia", 'Inventory - Public Private FMS'!$J$17:$J$1792))
* ISNUMBER(SEARCH("Private", 'Inventory - Public Private FMS'!$L$17:$L$1792))
* ((ISNUMBER(SEARCH("Primary Production", 'Inventory - Public Private FMS'!$N$17:$N$1792)))
+ (ISNUMBER(SEARCH("All Stages", 'Inventory - Public Private FMS'!$N$17:$N$1792))) &gt; 0)))</f>
        <v>0</v>
      </c>
      <c r="M14" s="247" cm="1">
        <f t="array" ref="M14">SUMPRODUCT(--(ISNUMBER(SEARCH("Croatia", 'Inventory - Public Private FMS'!$J$17:$J$1792))
* ISNUMBER(SEARCH("Private", 'Inventory - Public Private FMS'!$L$17:$L$1792))
* ((ISNUMBER(SEARCH("Processing &amp; Manufacturing", 'Inventory - Public Private FMS'!$N$17:$N$1792)))
+ (ISNUMBER(SEARCH("All Stages", 'Inventory - Public Private FMS'!$N$17:$N$1792))) &gt; 0)))</f>
        <v>0</v>
      </c>
      <c r="N14" s="247" cm="1">
        <f t="array" ref="N14">SUMPRODUCT(--(ISNUMBER(SEARCH("Croatia", 'Inventory - Public Private FMS'!$J$17:$J$1792))
* ISNUMBER(SEARCH("Private", 'Inventory - Public Private FMS'!$L$17:$L$1792))
* ((ISNUMBER(SEARCH("Retail", 'Inventory - Public Private FMS'!$N$17:$N$1792)))
+ (ISNUMBER(SEARCH("All Stages", 'Inventory - Public Private FMS'!$N$17:$N$1792))) &gt; 0)))</f>
        <v>0</v>
      </c>
      <c r="O14" s="247" cm="1">
        <f t="array" ref="O14">SUMPRODUCT(--(ISNUMBER(SEARCH("Croatia", 'Inventory - Public Private FMS'!$J$17:$J$1792))
* ISNUMBER(SEARCH("Private", 'Inventory - Public Private FMS'!$L$17:$L$1792))
* ((ISNUMBER(SEARCH("Food services", 'Inventory - Public Private FMS'!$N$17:$N$1792)))
+ (ISNUMBER(SEARCH("All Stages", 'Inventory - Public Private FMS'!$N$17:$N$1792))) &gt; 0)))</f>
        <v>0</v>
      </c>
      <c r="P14" s="224"/>
      <c r="Q14" s="246" cm="1">
        <f t="array" ref="Q14">SUMPRODUCT(--(ISNUMBER(SEARCH("Croatia",'Inventory - Public Private FMS'!$J$17:$J$1792))
*(ISNUMBER(SEARCH("Private",'Inventory - Public Private FMS'!$L$17:$L$1792)))&gt;0))</f>
        <v>0</v>
      </c>
    </row>
    <row r="15" spans="2:17" hidden="1">
      <c r="B15" s="240" t="s">
        <v>3942</v>
      </c>
      <c r="C15" s="246" cm="1">
        <f t="array" ref="C15">SUMPRODUCT(--(ISNUMBER(SEARCH("Cyprus",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15" s="247" cm="1">
        <f t="array" ref="D15">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5" s="247" cm="1">
        <f t="array" ref="E15">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5" s="247" cm="1">
        <f t="array" ref="F15">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5" s="247" cm="1">
        <f t="array" ref="G15">SUMPRODUCT(--(ISNUMBER(SEARCH("Cyprus",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5" s="247" cm="1">
        <f t="array" ref="H15">SUMPRODUCT(--(ISNUMBER(SEARCH("Cyprus", 'Inventory - Public Private FMS'!$J$17:$J$1792))
* ISNUMBER(SEARCH("Private", 'Inventory - Public Private FMS'!$L$17:$L$1792))
* ((ISNUMBER(SEARCH("Eggs", 'Inventory - Public Private FMS'!$F$17:$F$1792)))
+ (ISNUMBER(SEARCH("All food commodities", 'Inventory - Public Private FMS'!$F$17:$F$1792))) &gt; 0)))</f>
        <v>0</v>
      </c>
      <c r="I15" s="247" cm="1">
        <f t="array" ref="I15">SUMPRODUCT(--(ISNUMBER(SEARCH("Cyprus", 'Inventory - Public Private FMS'!$J$17:$J$1792))
* ISNUMBER(SEARCH("Private", 'Inventory - Public Private FMS'!$L$17:$L$1792))
* ((ISNUMBER(SEARCH("Fish", 'Inventory - Public Private FMS'!$F$17:$F$1792)))
+ (ISNUMBER(SEARCH("All food commodities", 'Inventory - Public Private FMS'!$F$17:$F$1792))) &gt; 0)))</f>
        <v>0</v>
      </c>
      <c r="J15" s="247" cm="1">
        <f t="array" ref="J15">SUMPRODUCT(--(ISNUMBER(SEARCH("Cyprus", 'Inventory - Public Private FMS'!$J$17:$J$1792))
* ISNUMBER(SEARCH("Private", 'Inventory - Public Private FMS'!$L$17:$L$1792))
* ((ISNUMBER(SEARCH("Cereals", 'Inventory - Public Private FMS'!$F$17:$F$1792)))
+ (ISNUMBER(SEARCH("All food commodities", 'Inventory - Public Private FMS'!$F$17:$F$1792))) &gt; 0)))</f>
        <v>0</v>
      </c>
      <c r="K15" s="224"/>
      <c r="L15" s="247" cm="1">
        <f t="array" ref="L15">SUMPRODUCT(--(ISNUMBER(SEARCH("Cyprus", 'Inventory - Public Private FMS'!$J$17:$J$1792))
* ISNUMBER(SEARCH("Private", 'Inventory - Public Private FMS'!$L$17:$L$1792))
* ((ISNUMBER(SEARCH("Primary Production", 'Inventory - Public Private FMS'!$N$17:$N$1792)))
+ (ISNUMBER(SEARCH("All Stages", 'Inventory - Public Private FMS'!$N$17:$N$1792))) &gt; 0)))</f>
        <v>0</v>
      </c>
      <c r="M15" s="247" cm="1">
        <f t="array" ref="M15">SUMPRODUCT(--(ISNUMBER(SEARCH("Cyprus", 'Inventory - Public Private FMS'!$J$17:$J$1792))
* ISNUMBER(SEARCH("Private", 'Inventory - Public Private FMS'!$L$17:$L$1792))
* ((ISNUMBER(SEARCH("Processing &amp; Manufacturing", 'Inventory - Public Private FMS'!$N$17:$N$1792)))
+ (ISNUMBER(SEARCH("All Stages", 'Inventory - Public Private FMS'!$N$17:$N$1792))) &gt; 0)))</f>
        <v>0</v>
      </c>
      <c r="N15" s="247" cm="1">
        <f t="array" ref="N15">SUMPRODUCT(--(ISNUMBER(SEARCH("Cyprus", 'Inventory - Public Private FMS'!$J$17:$J$1792))
* ISNUMBER(SEARCH("Private", 'Inventory - Public Private FMS'!$L$17:$L$1792))
* ((ISNUMBER(SEARCH("Retail", 'Inventory - Public Private FMS'!$N$17:$N$1792)))
+ (ISNUMBER(SEARCH("All Stages", 'Inventory - Public Private FMS'!$N$17:$N$1792))) &gt; 0)))</f>
        <v>0</v>
      </c>
      <c r="O15" s="247" cm="1">
        <f t="array" ref="O15">SUMPRODUCT(--(ISNUMBER(SEARCH("Cyprus", 'Inventory - Public Private FMS'!$J$17:$J$1792))
* ISNUMBER(SEARCH("Private", 'Inventory - Public Private FMS'!$L$17:$L$1792))
* ((ISNUMBER(SEARCH("Food services", 'Inventory - Public Private FMS'!$N$17:$N$1792)))
+ (ISNUMBER(SEARCH("All Stages", 'Inventory - Public Private FMS'!$N$17:$N$1792))) &gt; 0)))</f>
        <v>0</v>
      </c>
      <c r="P15" s="224"/>
      <c r="Q15" s="246" cm="1">
        <f t="array" ref="Q15">SUMPRODUCT(--(ISNUMBER(SEARCH("Cyprus",'Inventory - Public Private FMS'!$J$17:$J$1792))
*(ISNUMBER(SEARCH("Private",'Inventory - Public Private FMS'!$L$17:$L$1792)))&gt;0))</f>
        <v>0</v>
      </c>
    </row>
    <row r="16" spans="2:17" hidden="1">
      <c r="B16" s="240" t="s">
        <v>3943</v>
      </c>
      <c r="C16" s="246" cm="1">
        <f t="array" ref="C16">SUMPRODUCT(--(ISNUMBER(SEARCH("Czechia",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16" s="247" cm="1">
        <f t="array" ref="D16">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6" s="247" cm="1">
        <f t="array" ref="E16">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6" s="247" cm="1">
        <f t="array" ref="F16">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6" s="247" cm="1">
        <f t="array" ref="G16">SUMPRODUCT(--(ISNUMBER(SEARCH("Czechia",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6" s="247" cm="1">
        <f t="array" ref="H16">SUMPRODUCT(--(ISNUMBER(SEARCH("Czechia", 'Inventory - Public Private FMS'!$J$17:$J$1792))
* ISNUMBER(SEARCH("Private", 'Inventory - Public Private FMS'!$L$17:$L$1792))
* ((ISNUMBER(SEARCH("Eggs", 'Inventory - Public Private FMS'!$F$17:$F$1792)))
+ (ISNUMBER(SEARCH("All food commodities", 'Inventory - Public Private FMS'!$F$17:$F$1792))) &gt; 0)))</f>
        <v>0</v>
      </c>
      <c r="I16" s="247" cm="1">
        <f t="array" ref="I16">SUMPRODUCT(--(ISNUMBER(SEARCH("Czechia", 'Inventory - Public Private FMS'!$J$17:$J$1792))
* ISNUMBER(SEARCH("Private", 'Inventory - Public Private FMS'!$L$17:$L$1792))
* ((ISNUMBER(SEARCH("Fish", 'Inventory - Public Private FMS'!$F$17:$F$1792)))
+ (ISNUMBER(SEARCH("All food commodities", 'Inventory - Public Private FMS'!$F$17:$F$1792))) &gt; 0)))</f>
        <v>0</v>
      </c>
      <c r="J16" s="247" cm="1">
        <f t="array" ref="J16">SUMPRODUCT(--(ISNUMBER(SEARCH("Czechia", 'Inventory - Public Private FMS'!$J$17:$J$1792))
* ISNUMBER(SEARCH("Private", 'Inventory - Public Private FMS'!$L$17:$L$1792))
* ((ISNUMBER(SEARCH("Cereals", 'Inventory - Public Private FMS'!$F$17:$F$1792)))
+ (ISNUMBER(SEARCH("All food commodities", 'Inventory - Public Private FMS'!$F$17:$F$1792))) &gt; 0)))</f>
        <v>0</v>
      </c>
      <c r="K16" s="224"/>
      <c r="L16" s="247" cm="1">
        <f t="array" ref="L16">SUMPRODUCT(--(ISNUMBER(SEARCH("Czechia", 'Inventory - Public Private FMS'!$J$17:$J$1792))
* ISNUMBER(SEARCH("Private", 'Inventory - Public Private FMS'!$L$17:$L$1792))
* ((ISNUMBER(SEARCH("Primary Production", 'Inventory - Public Private FMS'!$N$17:$N$1792)))
+ (ISNUMBER(SEARCH("All Stages", 'Inventory - Public Private FMS'!$N$17:$N$1792))) &gt; 0)))</f>
        <v>0</v>
      </c>
      <c r="M16" s="247" cm="1">
        <f t="array" ref="M16">SUMPRODUCT(--(ISNUMBER(SEARCH("Czechia", 'Inventory - Public Private FMS'!$J$17:$J$1792))
* ISNUMBER(SEARCH("Private", 'Inventory - Public Private FMS'!$L$17:$L$1792))
* ((ISNUMBER(SEARCH("Processing &amp; Manufacturing", 'Inventory - Public Private FMS'!$N$17:$N$1792)))
+ (ISNUMBER(SEARCH("All Stages", 'Inventory - Public Private FMS'!$N$17:$N$1792))) &gt; 0)))</f>
        <v>0</v>
      </c>
      <c r="N16" s="247" cm="1">
        <f t="array" ref="N16">SUMPRODUCT(--(ISNUMBER(SEARCH("Czechia", 'Inventory - Public Private FMS'!$J$17:$J$1792))
* ISNUMBER(SEARCH("Private", 'Inventory - Public Private FMS'!$L$17:$L$1792))
* ((ISNUMBER(SEARCH("Retail", 'Inventory - Public Private FMS'!$N$17:$N$1792)))
+ (ISNUMBER(SEARCH("All Stages", 'Inventory - Public Private FMS'!$N$17:$N$1792))) &gt; 0)))</f>
        <v>0</v>
      </c>
      <c r="O16" s="247" cm="1">
        <f t="array" ref="O16">SUMPRODUCT(--(ISNUMBER(SEARCH("Czechia", 'Inventory - Public Private FMS'!$J$17:$J$1792))
* ISNUMBER(SEARCH("Private", 'Inventory - Public Private FMS'!$L$17:$L$1792))
* ((ISNUMBER(SEARCH("Food services", 'Inventory - Public Private FMS'!$N$17:$N$1792)))
+ (ISNUMBER(SEARCH("All Stages", 'Inventory - Public Private FMS'!$N$17:$N$1792))) &gt; 0)))</f>
        <v>0</v>
      </c>
      <c r="P16" s="224"/>
      <c r="Q16" s="246" cm="1">
        <f t="array" ref="Q16">SUMPRODUCT(--(ISNUMBER(SEARCH("Czechia",'Inventory - Public Private FMS'!$J$17:$J$1792))
*(ISNUMBER(SEARCH("Private",'Inventory - Public Private FMS'!$L$17:$L$1792)))&gt;0))</f>
        <v>0</v>
      </c>
    </row>
    <row r="17" spans="2:17">
      <c r="B17" s="240" t="s">
        <v>712</v>
      </c>
      <c r="C17" s="246" cm="1">
        <f t="array" ref="C17">SUMPRODUCT(--(ISNUMBER(SEARCH("Denmark",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1</v>
      </c>
      <c r="D17" s="247" cm="1">
        <f t="array" ref="D17">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7" s="247" cm="1">
        <f t="array" ref="E17">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7" s="247" cm="1">
        <f t="array" ref="F17">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7" s="247" cm="1">
        <f t="array" ref="G17">SUMPRODUCT(--(ISNUMBER(SEARCH("Denmark",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7" s="247" cm="1">
        <f t="array" ref="H17">SUMPRODUCT(--(ISNUMBER(SEARCH("Denmark", 'Inventory - Public Private FMS'!$J$17:$J$1792))
* ISNUMBER(SEARCH("Private", 'Inventory - Public Private FMS'!$L$17:$L$1792))
* ((ISNUMBER(SEARCH("Eggs", 'Inventory - Public Private FMS'!$F$17:$F$1792)))
+ (ISNUMBER(SEARCH("All food commodities", 'Inventory - Public Private FMS'!$F$17:$F$1792))) &gt; 0)))</f>
        <v>0</v>
      </c>
      <c r="I17" s="247" cm="1">
        <f t="array" ref="I17">SUMPRODUCT(--(ISNUMBER(SEARCH("Denmark", 'Inventory - Public Private FMS'!$J$17:$J$1792))
* ISNUMBER(SEARCH("Private", 'Inventory - Public Private FMS'!$L$17:$L$1792))
* ((ISNUMBER(SEARCH("Fish", 'Inventory - Public Private FMS'!$F$17:$F$1792)))
+ (ISNUMBER(SEARCH("All food commodities", 'Inventory - Public Private FMS'!$F$17:$F$1792))) &gt; 0)))</f>
        <v>0</v>
      </c>
      <c r="J17" s="247" cm="1">
        <f t="array" ref="J17">SUMPRODUCT(--(ISNUMBER(SEARCH("Denmark", 'Inventory - Public Private FMS'!$J$17:$J$1792))
* ISNUMBER(SEARCH("Private", 'Inventory - Public Private FMS'!$L$17:$L$1792))
* ((ISNUMBER(SEARCH("Cereals", 'Inventory - Public Private FMS'!$F$17:$F$1792)))
+ (ISNUMBER(SEARCH("All food commodities", 'Inventory - Public Private FMS'!$F$17:$F$1792))) &gt; 0)))</f>
        <v>1</v>
      </c>
      <c r="K17" s="224"/>
      <c r="L17" s="247" cm="1">
        <f t="array" ref="L17">SUMPRODUCT(--(ISNUMBER(SEARCH("Denmark", 'Inventory - Public Private FMS'!$J$17:$J$1792))
* ISNUMBER(SEARCH("Private", 'Inventory - Public Private FMS'!$L$17:$L$1792))
* ((ISNUMBER(SEARCH("Primary Production", 'Inventory - Public Private FMS'!$N$17:$N$1792)))
+ (ISNUMBER(SEARCH("All Stages", 'Inventory - Public Private FMS'!$N$17:$N$1792))) &gt; 0)))</f>
        <v>0</v>
      </c>
      <c r="M17" s="247" cm="1">
        <f t="array" ref="M17">SUMPRODUCT(--(ISNUMBER(SEARCH("Denmark", 'Inventory - Public Private FMS'!$J$17:$J$1792))
* ISNUMBER(SEARCH("Private", 'Inventory - Public Private FMS'!$L$17:$L$1792))
* ((ISNUMBER(SEARCH("Processing &amp; Manufacturing", 'Inventory - Public Private FMS'!$N$17:$N$1792)))
+ (ISNUMBER(SEARCH("All Stages", 'Inventory - Public Private FMS'!$N$17:$N$1792))) &gt; 0)))</f>
        <v>0</v>
      </c>
      <c r="N17" s="247" cm="1">
        <f t="array" ref="N17">SUMPRODUCT(--(ISNUMBER(SEARCH("Denmark", 'Inventory - Public Private FMS'!$J$17:$J$1792))
* ISNUMBER(SEARCH("Private", 'Inventory - Public Private FMS'!$L$17:$L$1792))
* ((ISNUMBER(SEARCH("Retail", 'Inventory - Public Private FMS'!$N$17:$N$1792)))
+ (ISNUMBER(SEARCH("All Stages", 'Inventory - Public Private FMS'!$N$17:$N$1792))) &gt; 0)))</f>
        <v>1</v>
      </c>
      <c r="O17" s="247" cm="1">
        <f t="array" ref="O17">SUMPRODUCT(--(ISNUMBER(SEARCH("Denmark", 'Inventory - Public Private FMS'!$J$17:$J$1792))
* ISNUMBER(SEARCH("Private", 'Inventory - Public Private FMS'!$L$17:$L$1792))
* ((ISNUMBER(SEARCH("Food services", 'Inventory - Public Private FMS'!$N$17:$N$1792)))
+ (ISNUMBER(SEARCH("All Stages", 'Inventory - Public Private FMS'!$N$17:$N$1792))) &gt; 0)))</f>
        <v>0</v>
      </c>
      <c r="P17" s="224"/>
      <c r="Q17" s="246" cm="1">
        <f t="array" ref="Q17">SUMPRODUCT(--(ISNUMBER(SEARCH("Denmark",'Inventory - Public Private FMS'!$J$17:$J$1792))
*(ISNUMBER(SEARCH("Private",'Inventory - Public Private FMS'!$L$17:$L$1792)))&gt;0))</f>
        <v>1</v>
      </c>
    </row>
    <row r="18" spans="2:17" hidden="1">
      <c r="B18" s="240" t="s">
        <v>3944</v>
      </c>
      <c r="C18" s="246" cm="1">
        <f t="array" ref="C18">SUMPRODUCT(--(ISNUMBER(SEARCH("Estonia",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18" s="247" cm="1">
        <f t="array" ref="D18">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8" s="247" cm="1">
        <f t="array" ref="E18">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8" s="247" cm="1">
        <f t="array" ref="F18">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8" s="247" cm="1">
        <f t="array" ref="G18">SUMPRODUCT(--(ISNUMBER(SEARCH("Estonia",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8" s="247" cm="1">
        <f t="array" ref="H18">SUMPRODUCT(--(ISNUMBER(SEARCH("Estonia", 'Inventory - Public Private FMS'!$J$17:$J$1792))
* ISNUMBER(SEARCH("Private", 'Inventory - Public Private FMS'!$L$17:$L$1792))
* ((ISNUMBER(SEARCH("Eggs", 'Inventory - Public Private FMS'!$F$17:$F$1792)))
+ (ISNUMBER(SEARCH("All food commodities", 'Inventory - Public Private FMS'!$F$17:$F$1792))) &gt; 0)))</f>
        <v>0</v>
      </c>
      <c r="I18" s="247" cm="1">
        <f t="array" ref="I18">SUMPRODUCT(--(ISNUMBER(SEARCH("Estonia", 'Inventory - Public Private FMS'!$J$17:$J$1792))
* ISNUMBER(SEARCH("Private", 'Inventory - Public Private FMS'!$L$17:$L$1792))
* ((ISNUMBER(SEARCH("Fish", 'Inventory - Public Private FMS'!$F$17:$F$1792)))
+ (ISNUMBER(SEARCH("All food commodities", 'Inventory - Public Private FMS'!$F$17:$F$1792))) &gt; 0)))</f>
        <v>0</v>
      </c>
      <c r="J18" s="247" cm="1">
        <f t="array" ref="J18">SUMPRODUCT(--(ISNUMBER(SEARCH("Estonia", 'Inventory - Public Private FMS'!$J$17:$J$1792))
* ISNUMBER(SEARCH("Private", 'Inventory - Public Private FMS'!$L$17:$L$1792))
* ((ISNUMBER(SEARCH("Cereals", 'Inventory - Public Private FMS'!$F$17:$F$1792)))
+ (ISNUMBER(SEARCH("All food commodities", 'Inventory - Public Private FMS'!$F$17:$F$1792))) &gt; 0)))</f>
        <v>0</v>
      </c>
      <c r="K18" s="224"/>
      <c r="L18" s="247" cm="1">
        <f t="array" ref="L18">SUMPRODUCT(--(ISNUMBER(SEARCH("Estonia", 'Inventory - Public Private FMS'!$J$17:$J$1792))
* ISNUMBER(SEARCH("Private", 'Inventory - Public Private FMS'!$L$17:$L$1792))
* ((ISNUMBER(SEARCH("Primary Production", 'Inventory - Public Private FMS'!$N$17:$N$1792)))
+ (ISNUMBER(SEARCH("All Stages", 'Inventory - Public Private FMS'!$N$17:$N$1792))) &gt; 0)))</f>
        <v>0</v>
      </c>
      <c r="M18" s="247" cm="1">
        <f t="array" ref="M18">SUMPRODUCT(--(ISNUMBER(SEARCH("Estonia", 'Inventory - Public Private FMS'!$J$17:$J$1792))
* ISNUMBER(SEARCH("Private", 'Inventory - Public Private FMS'!$L$17:$L$1792))
* ((ISNUMBER(SEARCH("Processing &amp; Manufacturing", 'Inventory - Public Private FMS'!$N$17:$N$1792)))
+ (ISNUMBER(SEARCH("All Stages", 'Inventory - Public Private FMS'!$N$17:$N$1792))) &gt; 0)))</f>
        <v>0</v>
      </c>
      <c r="N18" s="247" cm="1">
        <f t="array" ref="N18">SUMPRODUCT(--(ISNUMBER(SEARCH("Estonia", 'Inventory - Public Private FMS'!$J$17:$J$1792))
* ISNUMBER(SEARCH("Private", 'Inventory - Public Private FMS'!$L$17:$L$1792))
* ((ISNUMBER(SEARCH("Retail", 'Inventory - Public Private FMS'!$N$17:$N$1792)))
+ (ISNUMBER(SEARCH("All Stages", 'Inventory - Public Private FMS'!$N$17:$N$1792))) &gt; 0)))</f>
        <v>0</v>
      </c>
      <c r="O18" s="247" cm="1">
        <f t="array" ref="O18">SUMPRODUCT(--(ISNUMBER(SEARCH("Estonia", 'Inventory - Public Private FMS'!$J$17:$J$1792))
* ISNUMBER(SEARCH("Private", 'Inventory - Public Private FMS'!$L$17:$L$1792))
* ((ISNUMBER(SEARCH("Food services", 'Inventory - Public Private FMS'!$N$17:$N$1792)))
+ (ISNUMBER(SEARCH("All Stages", 'Inventory - Public Private FMS'!$N$17:$N$1792))) &gt; 0)))</f>
        <v>0</v>
      </c>
      <c r="P18" s="224"/>
      <c r="Q18" s="246" cm="1">
        <f t="array" ref="Q18">SUMPRODUCT(--(ISNUMBER(SEARCH("Estonia",'Inventory - Public Private FMS'!$J$17:$J$1792))
*(ISNUMBER(SEARCH("Private",'Inventory - Public Private FMS'!$L$17:$L$1792)))&gt;0))</f>
        <v>0</v>
      </c>
    </row>
    <row r="19" spans="2:17" hidden="1">
      <c r="B19" s="240" t="s">
        <v>3273</v>
      </c>
      <c r="C19" s="246" cm="1">
        <f t="array" ref="C19">SUMPRODUCT(--(ISNUMBER(SEARCH("Finland",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19" s="247" cm="1">
        <f t="array" ref="D19">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19" s="247" cm="1">
        <f t="array" ref="E19">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19" s="247" cm="1">
        <f t="array" ref="F19">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19" s="247" cm="1">
        <f t="array" ref="G19">SUMPRODUCT(--(ISNUMBER(SEARCH("Finland",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19" s="247" cm="1">
        <f t="array" ref="H19">SUMPRODUCT(--(ISNUMBER(SEARCH("Finland", 'Inventory - Public Private FMS'!$J$17:$J$1792))
* ISNUMBER(SEARCH("Private", 'Inventory - Public Private FMS'!$L$17:$L$1792))
* ((ISNUMBER(SEARCH("Eggs", 'Inventory - Public Private FMS'!$F$17:$F$1792)))
+ (ISNUMBER(SEARCH("All food commodities", 'Inventory - Public Private FMS'!$F$17:$F$1792))) &gt; 0)))</f>
        <v>0</v>
      </c>
      <c r="I19" s="247" cm="1">
        <f t="array" ref="I19">SUMPRODUCT(--(ISNUMBER(SEARCH("Finland", 'Inventory - Public Private FMS'!$J$17:$J$1792))
* ISNUMBER(SEARCH("Private", 'Inventory - Public Private FMS'!$L$17:$L$1792))
* ((ISNUMBER(SEARCH("Fish", 'Inventory - Public Private FMS'!$F$17:$F$1792)))
+ (ISNUMBER(SEARCH("All food commodities", 'Inventory - Public Private FMS'!$F$17:$F$1792))) &gt; 0)))</f>
        <v>0</v>
      </c>
      <c r="J19" s="247" cm="1">
        <f t="array" ref="J19">SUMPRODUCT(--(ISNUMBER(SEARCH("Finland", 'Inventory - Public Private FMS'!$J$17:$J$1792))
* ISNUMBER(SEARCH("Private", 'Inventory - Public Private FMS'!$L$17:$L$1792))
* ((ISNUMBER(SEARCH("Cereals", 'Inventory - Public Private FMS'!$F$17:$F$1792)))
+ (ISNUMBER(SEARCH("All food commodities", 'Inventory - Public Private FMS'!$F$17:$F$1792))) &gt; 0)))</f>
        <v>0</v>
      </c>
      <c r="K19" s="224"/>
      <c r="L19" s="247" cm="1">
        <f t="array" ref="L19">SUMPRODUCT(--(ISNUMBER(SEARCH("Finland", 'Inventory - Public Private FMS'!$J$17:$J$1792))
* ISNUMBER(SEARCH("Private", 'Inventory - Public Private FMS'!$L$17:$L$1792))
* ((ISNUMBER(SEARCH("Primary Production", 'Inventory - Public Private FMS'!$N$17:$N$1792)))
+ (ISNUMBER(SEARCH("All Stages", 'Inventory - Public Private FMS'!$N$17:$N$1792))) &gt; 0)))</f>
        <v>0</v>
      </c>
      <c r="M19" s="247" cm="1">
        <f t="array" ref="M19">SUMPRODUCT(--(ISNUMBER(SEARCH("Finland", 'Inventory - Public Private FMS'!$J$17:$J$1792))
* ISNUMBER(SEARCH("Private", 'Inventory - Public Private FMS'!$L$17:$L$1792))
* ((ISNUMBER(SEARCH("Processing &amp; Manufacturing", 'Inventory - Public Private FMS'!$N$17:$N$1792)))
+ (ISNUMBER(SEARCH("All Stages", 'Inventory - Public Private FMS'!$N$17:$N$1792))) &gt; 0)))</f>
        <v>0</v>
      </c>
      <c r="N19" s="247" cm="1">
        <f t="array" ref="N19">SUMPRODUCT(--(ISNUMBER(SEARCH("Finland", 'Inventory - Public Private FMS'!$J$17:$J$1792))
* ISNUMBER(SEARCH("Private", 'Inventory - Public Private FMS'!$L$17:$L$1792))
* ((ISNUMBER(SEARCH("Retail", 'Inventory - Public Private FMS'!$N$17:$N$1792)))
+ (ISNUMBER(SEARCH("All Stages", 'Inventory - Public Private FMS'!$N$17:$N$1792))) &gt; 0)))</f>
        <v>0</v>
      </c>
      <c r="O19" s="247" cm="1">
        <f t="array" ref="O19">SUMPRODUCT(--(ISNUMBER(SEARCH("Finland", 'Inventory - Public Private FMS'!$J$17:$J$1792))
* ISNUMBER(SEARCH("Private", 'Inventory - Public Private FMS'!$L$17:$L$1792))
* ((ISNUMBER(SEARCH("Food services", 'Inventory - Public Private FMS'!$N$17:$N$1792)))
+ (ISNUMBER(SEARCH("All Stages", 'Inventory - Public Private FMS'!$N$17:$N$1792))) &gt; 0)))</f>
        <v>0</v>
      </c>
      <c r="P19" s="224"/>
      <c r="Q19" s="246" cm="1">
        <f t="array" ref="Q19">SUMPRODUCT(--(ISNUMBER(SEARCH("Finland",'Inventory - Public Private FMS'!$J$17:$J$1792))
*(ISNUMBER(SEARCH("Private",'Inventory - Public Private FMS'!$L$17:$L$1792)))&gt;0))</f>
        <v>0</v>
      </c>
    </row>
    <row r="20" spans="2:17">
      <c r="B20" s="240" t="s">
        <v>411</v>
      </c>
      <c r="C20" s="246" cm="1">
        <f t="array" ref="C20">SUMPRODUCT(--(ISNUMBER(SEARCH("France",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27</v>
      </c>
      <c r="D20" s="247" cm="1">
        <f t="array" ref="D20">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23</v>
      </c>
      <c r="E20" s="247" cm="1">
        <f t="array" ref="E20">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23</v>
      </c>
      <c r="F20" s="247" cm="1">
        <f t="array" ref="F20">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24</v>
      </c>
      <c r="G20" s="247" cm="1">
        <f t="array" ref="G20">SUMPRODUCT(--(ISNUMBER(SEARCH("France",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24</v>
      </c>
      <c r="H20" s="247" cm="1">
        <f t="array" ref="H20">SUMPRODUCT(--(ISNUMBER(SEARCH("France", 'Inventory - Public Private FMS'!$J$17:$J$1792))
* ISNUMBER(SEARCH("Private", 'Inventory - Public Private FMS'!$L$17:$L$1792))
* ((ISNUMBER(SEARCH("Eggs", 'Inventory - Public Private FMS'!$F$17:$F$1792)))
+ (ISNUMBER(SEARCH("All food commodities", 'Inventory - Public Private FMS'!$F$17:$F$1792))) &gt; 0)))</f>
        <v>24</v>
      </c>
      <c r="I20" s="247" cm="1">
        <f t="array" ref="I20">SUMPRODUCT(--(ISNUMBER(SEARCH("France", 'Inventory - Public Private FMS'!$J$17:$J$1792))
* ISNUMBER(SEARCH("Private", 'Inventory - Public Private FMS'!$L$17:$L$1792))
* ((ISNUMBER(SEARCH("Fish", 'Inventory - Public Private FMS'!$F$17:$F$1792)))
+ (ISNUMBER(SEARCH("All food commodities", 'Inventory - Public Private FMS'!$F$17:$F$1792))) &gt; 0)))</f>
        <v>20</v>
      </c>
      <c r="J20" s="247" cm="1">
        <f t="array" ref="J20">SUMPRODUCT(--(ISNUMBER(SEARCH("France", 'Inventory - Public Private FMS'!$J$17:$J$1792))
* ISNUMBER(SEARCH("Private", 'Inventory - Public Private FMS'!$L$17:$L$1792))
* ((ISNUMBER(SEARCH("Cereals", 'Inventory - Public Private FMS'!$F$17:$F$1792)))
+ (ISNUMBER(SEARCH("All food commodities", 'Inventory - Public Private FMS'!$F$17:$F$1792))) &gt; 0)))</f>
        <v>21</v>
      </c>
      <c r="K20" s="224"/>
      <c r="L20" s="247" cm="1">
        <f t="array" ref="L20">SUMPRODUCT(--(ISNUMBER(SEARCH("France", 'Inventory - Public Private FMS'!$J$17:$J$1792))
* ISNUMBER(SEARCH("Private", 'Inventory - Public Private FMS'!$L$17:$L$1792))
* ((ISNUMBER(SEARCH("Primary Production", 'Inventory - Public Private FMS'!$N$17:$N$1792)))
+ (ISNUMBER(SEARCH("All Stages", 'Inventory - Public Private FMS'!$N$17:$N$1792))) &gt; 0)))</f>
        <v>20</v>
      </c>
      <c r="M20" s="247" cm="1">
        <f t="array" ref="M20">SUMPRODUCT(--(ISNUMBER(SEARCH("France", 'Inventory - Public Private FMS'!$J$17:$J$1792))
* ISNUMBER(SEARCH("Private", 'Inventory - Public Private FMS'!$L$17:$L$1792))
* ((ISNUMBER(SEARCH("Processing &amp; Manufacturing", 'Inventory - Public Private FMS'!$N$17:$N$1792)))
+ (ISNUMBER(SEARCH("All Stages", 'Inventory - Public Private FMS'!$N$17:$N$1792))) &gt; 0)))</f>
        <v>19</v>
      </c>
      <c r="N20" s="247" cm="1">
        <f t="array" ref="N20">SUMPRODUCT(--(ISNUMBER(SEARCH("France", 'Inventory - Public Private FMS'!$J$17:$J$1792))
* ISNUMBER(SEARCH("Private", 'Inventory - Public Private FMS'!$L$17:$L$1792))
* ((ISNUMBER(SEARCH("Retail", 'Inventory - Public Private FMS'!$N$17:$N$1792)))
+ (ISNUMBER(SEARCH("All Stages", 'Inventory - Public Private FMS'!$N$17:$N$1792))) &gt; 0)))</f>
        <v>25</v>
      </c>
      <c r="O20" s="247" cm="1">
        <f t="array" ref="O20">SUMPRODUCT(--(ISNUMBER(SEARCH("France", 'Inventory - Public Private FMS'!$J$17:$J$1792))
* ISNUMBER(SEARCH("Private", 'Inventory - Public Private FMS'!$L$17:$L$1792))
* ((ISNUMBER(SEARCH("Food services", 'Inventory - Public Private FMS'!$N$17:$N$1792)))
+ (ISNUMBER(SEARCH("All Stages", 'Inventory - Public Private FMS'!$N$17:$N$1792))) &gt; 0)))</f>
        <v>14</v>
      </c>
      <c r="P20" s="224"/>
      <c r="Q20" s="246" cm="1">
        <f t="array" ref="Q20">SUMPRODUCT(--(ISNUMBER(SEARCH("France",'Inventory - Public Private FMS'!$J$17:$J$1792))
*(ISNUMBER(SEARCH("Private",'Inventory - Public Private FMS'!$L$17:$L$1792)))&gt;0))</f>
        <v>34</v>
      </c>
    </row>
    <row r="21" spans="2:17" hidden="1">
      <c r="B21" s="240" t="s">
        <v>3282</v>
      </c>
      <c r="C21" s="246" cm="1">
        <f t="array" ref="C21">SUMPRODUCT(--(ISNUMBER(SEARCH("Greece",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1" s="247" cm="1">
        <f t="array" ref="D2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1" s="247" cm="1">
        <f t="array" ref="E2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1" s="247" cm="1">
        <f t="array" ref="F2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1" s="247" cm="1">
        <f t="array" ref="G21">SUMPRODUCT(--(ISNUMBER(SEARCH("Greece",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1" s="247" cm="1">
        <f t="array" ref="H21">SUMPRODUCT(--(ISNUMBER(SEARCH("Greece", 'Inventory - Public Private FMS'!$J$17:$J$1792))
* ISNUMBER(SEARCH("Private", 'Inventory - Public Private FMS'!$L$17:$L$1792))
* ((ISNUMBER(SEARCH("Eggs", 'Inventory - Public Private FMS'!$F$17:$F$1792)))
+ (ISNUMBER(SEARCH("All food commodities", 'Inventory - Public Private FMS'!$F$17:$F$1792))) &gt; 0)))</f>
        <v>0</v>
      </c>
      <c r="I21" s="247" cm="1">
        <f t="array" ref="I21">SUMPRODUCT(--(ISNUMBER(SEARCH("Greece", 'Inventory - Public Private FMS'!$J$17:$J$1792))
* ISNUMBER(SEARCH("Private", 'Inventory - Public Private FMS'!$L$17:$L$1792))
* ((ISNUMBER(SEARCH("Fish", 'Inventory - Public Private FMS'!$F$17:$F$1792)))
+ (ISNUMBER(SEARCH("All food commodities", 'Inventory - Public Private FMS'!$F$17:$F$1792))) &gt; 0)))</f>
        <v>0</v>
      </c>
      <c r="J21" s="247" cm="1">
        <f t="array" ref="J21">SUMPRODUCT(--(ISNUMBER(SEARCH("Greece", 'Inventory - Public Private FMS'!$J$17:$J$1792))
* ISNUMBER(SEARCH("Private", 'Inventory - Public Private FMS'!$L$17:$L$1792))
* ((ISNUMBER(SEARCH("Cereals", 'Inventory - Public Private FMS'!$F$17:$F$1792)))
+ (ISNUMBER(SEARCH("All food commodities", 'Inventory - Public Private FMS'!$F$17:$F$1792))) &gt; 0)))</f>
        <v>0</v>
      </c>
      <c r="K21" s="224"/>
      <c r="L21" s="247" cm="1">
        <f t="array" ref="L21">SUMPRODUCT(--(ISNUMBER(SEARCH("Greece", 'Inventory - Public Private FMS'!$J$17:$J$1792))
* ISNUMBER(SEARCH("Private", 'Inventory - Public Private FMS'!$L$17:$L$1792))
* ((ISNUMBER(SEARCH("Primary Production", 'Inventory - Public Private FMS'!$N$17:$N$1792)))
+ (ISNUMBER(SEARCH("All Stages", 'Inventory - Public Private FMS'!$N$17:$N$1792))) &gt; 0)))</f>
        <v>0</v>
      </c>
      <c r="M21" s="247" cm="1">
        <f t="array" ref="M21">SUMPRODUCT(--(ISNUMBER(SEARCH("Greece", 'Inventory - Public Private FMS'!$J$17:$J$1792))
* ISNUMBER(SEARCH("Private", 'Inventory - Public Private FMS'!$L$17:$L$1792))
* ((ISNUMBER(SEARCH("Processing &amp; Manufacturing", 'Inventory - Public Private FMS'!$N$17:$N$1792)))
+ (ISNUMBER(SEARCH("All Stages", 'Inventory - Public Private FMS'!$N$17:$N$1792))) &gt; 0)))</f>
        <v>0</v>
      </c>
      <c r="N21" s="247" cm="1">
        <f t="array" ref="N21">SUMPRODUCT(--(ISNUMBER(SEARCH("Greece", 'Inventory - Public Private FMS'!$J$17:$J$1792))
* ISNUMBER(SEARCH("Private", 'Inventory - Public Private FMS'!$L$17:$L$1792))
* ((ISNUMBER(SEARCH("Retail", 'Inventory - Public Private FMS'!$N$17:$N$1792)))
+ (ISNUMBER(SEARCH("All Stages", 'Inventory - Public Private FMS'!$N$17:$N$1792))) &gt; 0)))</f>
        <v>0</v>
      </c>
      <c r="O21" s="247" cm="1">
        <f t="array" ref="O21">SUMPRODUCT(--(ISNUMBER(SEARCH("Greece", 'Inventory - Public Private FMS'!$J$17:$J$1792))
* ISNUMBER(SEARCH("Private", 'Inventory - Public Private FMS'!$L$17:$L$1792))
* ((ISNUMBER(SEARCH("Food services", 'Inventory - Public Private FMS'!$N$17:$N$1792)))
+ (ISNUMBER(SEARCH("All Stages", 'Inventory - Public Private FMS'!$N$17:$N$1792))) &gt; 0)))</f>
        <v>0</v>
      </c>
      <c r="P21" s="224"/>
      <c r="Q21" s="246" cm="1">
        <f t="array" ref="Q21">SUMPRODUCT(--(ISNUMBER(SEARCH("Greece",'Inventory - Public Private FMS'!$J$17:$J$1792))
*(ISNUMBER(SEARCH("Private",'Inventory - Public Private FMS'!$L$17:$L$1792)))&gt;0))</f>
        <v>0</v>
      </c>
    </row>
    <row r="22" spans="2:17" hidden="1">
      <c r="B22" s="240" t="s">
        <v>3316</v>
      </c>
      <c r="C22" s="246" cm="1">
        <f t="array" ref="C22">SUMPRODUCT(--(ISNUMBER(SEARCH("Hungary",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2" s="247" cm="1">
        <f t="array" ref="D22">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2" s="247" cm="1">
        <f t="array" ref="E22">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2" s="247" cm="1">
        <f t="array" ref="F22">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2" s="247" cm="1">
        <f t="array" ref="G22">SUMPRODUCT(--(ISNUMBER(SEARCH("Hungary",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2" s="247" cm="1">
        <f t="array" ref="H22">SUMPRODUCT(--(ISNUMBER(SEARCH("Hungary", 'Inventory - Public Private FMS'!$J$17:$J$1792))
* ISNUMBER(SEARCH("Private", 'Inventory - Public Private FMS'!$L$17:$L$1792))
* ((ISNUMBER(SEARCH("Eggs", 'Inventory - Public Private FMS'!$F$17:$F$1792)))
+ (ISNUMBER(SEARCH("All food commodities", 'Inventory - Public Private FMS'!$F$17:$F$1792))) &gt; 0)))</f>
        <v>0</v>
      </c>
      <c r="I22" s="247" cm="1">
        <f t="array" ref="I22">SUMPRODUCT(--(ISNUMBER(SEARCH("Hungary", 'Inventory - Public Private FMS'!$J$17:$J$1792))
* ISNUMBER(SEARCH("Private", 'Inventory - Public Private FMS'!$L$17:$L$1792))
* ((ISNUMBER(SEARCH("Fish", 'Inventory - Public Private FMS'!$F$17:$F$1792)))
+ (ISNUMBER(SEARCH("All food commodities", 'Inventory - Public Private FMS'!$F$17:$F$1792))) &gt; 0)))</f>
        <v>0</v>
      </c>
      <c r="J22" s="247" cm="1">
        <f t="array" ref="J22">SUMPRODUCT(--(ISNUMBER(SEARCH("Hungary", 'Inventory - Public Private FMS'!$J$17:$J$1792))
* ISNUMBER(SEARCH("Private", 'Inventory - Public Private FMS'!$L$17:$L$1792))
* ((ISNUMBER(SEARCH("Cereals", 'Inventory - Public Private FMS'!$F$17:$F$1792)))
+ (ISNUMBER(SEARCH("All food commodities", 'Inventory - Public Private FMS'!$F$17:$F$1792))) &gt; 0)))</f>
        <v>0</v>
      </c>
      <c r="K22" s="224"/>
      <c r="L22" s="247" cm="1">
        <f t="array" ref="L22">SUMPRODUCT(--(ISNUMBER(SEARCH("Hungary", 'Inventory - Public Private FMS'!$J$17:$J$1792))
* ISNUMBER(SEARCH("Private", 'Inventory - Public Private FMS'!$L$17:$L$1792))
* ((ISNUMBER(SEARCH("Primary Production", 'Inventory - Public Private FMS'!$N$17:$N$1792)))
+ (ISNUMBER(SEARCH("All Stages", 'Inventory - Public Private FMS'!$N$17:$N$1792))) &gt; 0)))</f>
        <v>0</v>
      </c>
      <c r="M22" s="247" cm="1">
        <f t="array" ref="M22">SUMPRODUCT(--(ISNUMBER(SEARCH("Hungary", 'Inventory - Public Private FMS'!$J$17:$J$1792))
* ISNUMBER(SEARCH("Private", 'Inventory - Public Private FMS'!$L$17:$L$1792))
* ((ISNUMBER(SEARCH("Processing &amp; Manufacturing", 'Inventory - Public Private FMS'!$N$17:$N$1792)))
+ (ISNUMBER(SEARCH("All Stages", 'Inventory - Public Private FMS'!$N$17:$N$1792))) &gt; 0)))</f>
        <v>0</v>
      </c>
      <c r="N22" s="247" cm="1">
        <f t="array" ref="N22">SUMPRODUCT(--(ISNUMBER(SEARCH("Hungary", 'Inventory - Public Private FMS'!$J$17:$J$1792))
* ISNUMBER(SEARCH("Private", 'Inventory - Public Private FMS'!$L$17:$L$1792))
* ((ISNUMBER(SEARCH("Retail", 'Inventory - Public Private FMS'!$N$17:$N$1792)))
+ (ISNUMBER(SEARCH("All Stages", 'Inventory - Public Private FMS'!$N$17:$N$1792))) &gt; 0)))</f>
        <v>0</v>
      </c>
      <c r="O22" s="247" cm="1">
        <f t="array" ref="O22">SUMPRODUCT(--(ISNUMBER(SEARCH("Hungary", 'Inventory - Public Private FMS'!$J$17:$J$1792))
* ISNUMBER(SEARCH("Private", 'Inventory - Public Private FMS'!$L$17:$L$1792))
* ((ISNUMBER(SEARCH("Food services", 'Inventory - Public Private FMS'!$N$17:$N$1792)))
+ (ISNUMBER(SEARCH("All Stages", 'Inventory - Public Private FMS'!$N$17:$N$1792))) &gt; 0)))</f>
        <v>0</v>
      </c>
      <c r="P22" s="224"/>
      <c r="Q22" s="246" cm="1">
        <f t="array" ref="Q22">SUMPRODUCT(--(ISNUMBER(SEARCH("Hungary",'Inventory - Public Private FMS'!$J$17:$J$1792))
*(ISNUMBER(SEARCH("Private",'Inventory - Public Private FMS'!$L$17:$L$1792)))&gt;0))</f>
        <v>0</v>
      </c>
    </row>
    <row r="23" spans="2:17" hidden="1">
      <c r="B23" s="240" t="s">
        <v>3230</v>
      </c>
      <c r="C23" s="246" cm="1">
        <f t="array" ref="C23">SUMPRODUCT(--(ISNUMBER(SEARCH("Ireland",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3" s="247" cm="1">
        <f t="array" ref="D23">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3" s="247" cm="1">
        <f t="array" ref="E23">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3" s="247" cm="1">
        <f t="array" ref="F23">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3" s="247" cm="1">
        <f t="array" ref="G23">SUMPRODUCT(--(ISNUMBER(SEARCH("Ireland",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3" s="247" cm="1">
        <f t="array" ref="H23">SUMPRODUCT(--(ISNUMBER(SEARCH("Ireland", 'Inventory - Public Private FMS'!$J$17:$J$1792))
* ISNUMBER(SEARCH("Private", 'Inventory - Public Private FMS'!$L$17:$L$1792))
* ((ISNUMBER(SEARCH("Eggs", 'Inventory - Public Private FMS'!$F$17:$F$1792)))
+ (ISNUMBER(SEARCH("All food commodities", 'Inventory - Public Private FMS'!$F$17:$F$1792))) &gt; 0)))</f>
        <v>0</v>
      </c>
      <c r="I23" s="247" cm="1">
        <f t="array" ref="I23">SUMPRODUCT(--(ISNUMBER(SEARCH("Ireland", 'Inventory - Public Private FMS'!$J$17:$J$1792))
* ISNUMBER(SEARCH("Private", 'Inventory - Public Private FMS'!$L$17:$L$1792))
* ((ISNUMBER(SEARCH("Fish", 'Inventory - Public Private FMS'!$F$17:$F$1792)))
+ (ISNUMBER(SEARCH("All food commodities", 'Inventory - Public Private FMS'!$F$17:$F$1792))) &gt; 0)))</f>
        <v>0</v>
      </c>
      <c r="J23" s="247" cm="1">
        <f t="array" ref="J23">SUMPRODUCT(--(ISNUMBER(SEARCH("Ireland", 'Inventory - Public Private FMS'!$J$17:$J$1792))
* ISNUMBER(SEARCH("Private", 'Inventory - Public Private FMS'!$L$17:$L$1792))
* ((ISNUMBER(SEARCH("Cereals", 'Inventory - Public Private FMS'!$F$17:$F$1792)))
+ (ISNUMBER(SEARCH("All food commodities", 'Inventory - Public Private FMS'!$F$17:$F$1792))) &gt; 0)))</f>
        <v>0</v>
      </c>
      <c r="K23" s="224"/>
      <c r="L23" s="247" cm="1">
        <f t="array" ref="L23">SUMPRODUCT(--(ISNUMBER(SEARCH("Ireland", 'Inventory - Public Private FMS'!$J$17:$J$1792))
* ISNUMBER(SEARCH("Private", 'Inventory - Public Private FMS'!$L$17:$L$1792))
* ((ISNUMBER(SEARCH("Primary Production", 'Inventory - Public Private FMS'!$N$17:$N$1792)))
+ (ISNUMBER(SEARCH("All Stages", 'Inventory - Public Private FMS'!$N$17:$N$1792))) &gt; 0)))</f>
        <v>0</v>
      </c>
      <c r="M23" s="247" cm="1">
        <f t="array" ref="M23">SUMPRODUCT(--(ISNUMBER(SEARCH("Ireland", 'Inventory - Public Private FMS'!$J$17:$J$1792))
* ISNUMBER(SEARCH("Private", 'Inventory - Public Private FMS'!$L$17:$L$1792))
* ((ISNUMBER(SEARCH("Processing &amp; Manufacturing", 'Inventory - Public Private FMS'!$N$17:$N$1792)))
+ (ISNUMBER(SEARCH("All Stages", 'Inventory - Public Private FMS'!$N$17:$N$1792))) &gt; 0)))</f>
        <v>0</v>
      </c>
      <c r="N23" s="247" cm="1">
        <f t="array" ref="N23">SUMPRODUCT(--(ISNUMBER(SEARCH("Ireland", 'Inventory - Public Private FMS'!$J$17:$J$1792))
* ISNUMBER(SEARCH("Private", 'Inventory - Public Private FMS'!$L$17:$L$1792))
* ((ISNUMBER(SEARCH("Retail", 'Inventory - Public Private FMS'!$N$17:$N$1792)))
+ (ISNUMBER(SEARCH("All Stages", 'Inventory - Public Private FMS'!$N$17:$N$1792))) &gt; 0)))</f>
        <v>0</v>
      </c>
      <c r="O23" s="247" cm="1">
        <f t="array" ref="O23">SUMPRODUCT(--(ISNUMBER(SEARCH("Ireland", 'Inventory - Public Private FMS'!$J$17:$J$1792))
* ISNUMBER(SEARCH("Private", 'Inventory - Public Private FMS'!$L$17:$L$1792))
* ((ISNUMBER(SEARCH("Food services", 'Inventory - Public Private FMS'!$N$17:$N$1792)))
+ (ISNUMBER(SEARCH("All Stages", 'Inventory - Public Private FMS'!$N$17:$N$1792))) &gt; 0)))</f>
        <v>0</v>
      </c>
      <c r="P23" s="224"/>
      <c r="Q23" s="246" cm="1">
        <f t="array" ref="Q23">SUMPRODUCT(--(ISNUMBER(SEARCH("Ireland",'Inventory - Public Private FMS'!$J$17:$J$1792))
*(ISNUMBER(SEARCH("Private",'Inventory - Public Private FMS'!$L$17:$L$1792)))&gt;0))</f>
        <v>0</v>
      </c>
    </row>
    <row r="24" spans="2:17">
      <c r="B24" s="240" t="s">
        <v>659</v>
      </c>
      <c r="C24" s="246" cm="1">
        <f t="array" ref="C24">SUMPRODUCT(--(ISNUMBER(SEARCH("Italy",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6</v>
      </c>
      <c r="D24" s="247" cm="1">
        <f t="array" ref="D24">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4</v>
      </c>
      <c r="E24" s="247" cm="1">
        <f t="array" ref="E24">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3</v>
      </c>
      <c r="F24" s="247" cm="1">
        <f t="array" ref="F24">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3</v>
      </c>
      <c r="G24" s="247" cm="1">
        <f t="array" ref="G24">SUMPRODUCT(--(ISNUMBER(SEARCH("Italy",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4</v>
      </c>
      <c r="H24" s="247" cm="1">
        <f t="array" ref="H24">SUMPRODUCT(--(ISNUMBER(SEARCH("Italy", 'Inventory - Public Private FMS'!$J$17:$J$1792))
* ISNUMBER(SEARCH("Private", 'Inventory - Public Private FMS'!$L$17:$L$1792))
* ((ISNUMBER(SEARCH("Eggs", 'Inventory - Public Private FMS'!$F$17:$F$1792)))
+ (ISNUMBER(SEARCH("All food commodities", 'Inventory - Public Private FMS'!$F$17:$F$1792))) &gt; 0)))</f>
        <v>3</v>
      </c>
      <c r="I24" s="247" cm="1">
        <f t="array" ref="I24">SUMPRODUCT(--(ISNUMBER(SEARCH("Italy", 'Inventory - Public Private FMS'!$J$17:$J$1792))
* ISNUMBER(SEARCH("Private", 'Inventory - Public Private FMS'!$L$17:$L$1792))
* ((ISNUMBER(SEARCH("Fish", 'Inventory - Public Private FMS'!$F$17:$F$1792)))
+ (ISNUMBER(SEARCH("All food commodities", 'Inventory - Public Private FMS'!$F$17:$F$1792))) &gt; 0)))</f>
        <v>3</v>
      </c>
      <c r="J24" s="247" cm="1">
        <f t="array" ref="J24">SUMPRODUCT(--(ISNUMBER(SEARCH("Italy", 'Inventory - Public Private FMS'!$J$17:$J$1792))
* ISNUMBER(SEARCH("Private", 'Inventory - Public Private FMS'!$L$17:$L$1792))
* ((ISNUMBER(SEARCH("Cereals", 'Inventory - Public Private FMS'!$F$17:$F$1792)))
+ (ISNUMBER(SEARCH("All food commodities", 'Inventory - Public Private FMS'!$F$17:$F$1792))) &gt; 0)))</f>
        <v>6</v>
      </c>
      <c r="K24" s="224"/>
      <c r="L24" s="247" cm="1">
        <f t="array" ref="L24">SUMPRODUCT(--(ISNUMBER(SEARCH("Italy", 'Inventory - Public Private FMS'!$J$17:$J$1792))
* ISNUMBER(SEARCH("Private", 'Inventory - Public Private FMS'!$L$17:$L$1792))
* ((ISNUMBER(SEARCH("Primary Production", 'Inventory - Public Private FMS'!$N$17:$N$1792)))
+ (ISNUMBER(SEARCH("All Stages", 'Inventory - Public Private FMS'!$N$17:$N$1792))) &gt; 0)))</f>
        <v>7</v>
      </c>
      <c r="M24" s="247" cm="1">
        <f t="array" ref="M24">SUMPRODUCT(--(ISNUMBER(SEARCH("Italy", 'Inventory - Public Private FMS'!$J$17:$J$1792))
* ISNUMBER(SEARCH("Private", 'Inventory - Public Private FMS'!$L$17:$L$1792))
* ((ISNUMBER(SEARCH("Processing &amp; Manufacturing", 'Inventory - Public Private FMS'!$N$17:$N$1792)))
+ (ISNUMBER(SEARCH("All Stages", 'Inventory - Public Private FMS'!$N$17:$N$1792))) &gt; 0)))</f>
        <v>5</v>
      </c>
      <c r="N24" s="247" cm="1">
        <f t="array" ref="N24">SUMPRODUCT(--(ISNUMBER(SEARCH("Italy", 'Inventory - Public Private FMS'!$J$17:$J$1792))
* ISNUMBER(SEARCH("Private", 'Inventory - Public Private FMS'!$L$17:$L$1792))
* ((ISNUMBER(SEARCH("Retail", 'Inventory - Public Private FMS'!$N$17:$N$1792)))
+ (ISNUMBER(SEARCH("All Stages", 'Inventory - Public Private FMS'!$N$17:$N$1792))) &gt; 0)))</f>
        <v>2</v>
      </c>
      <c r="O24" s="247" cm="1">
        <f t="array" ref="O24">SUMPRODUCT(--(ISNUMBER(SEARCH("Italy", 'Inventory - Public Private FMS'!$J$17:$J$1792))
* ISNUMBER(SEARCH("Private", 'Inventory - Public Private FMS'!$L$17:$L$1792))
* ((ISNUMBER(SEARCH("Food services", 'Inventory - Public Private FMS'!$N$17:$N$1792)))
+ (ISNUMBER(SEARCH("All Stages", 'Inventory - Public Private FMS'!$N$17:$N$1792))) &gt; 0)))</f>
        <v>1</v>
      </c>
      <c r="P24" s="224"/>
      <c r="Q24" s="246" cm="1">
        <f t="array" ref="Q24">SUMPRODUCT(--(ISNUMBER(SEARCH("Italy",'Inventory - Public Private FMS'!$J$17:$J$1792))
*(ISNUMBER(SEARCH("Private",'Inventory - Public Private FMS'!$L$17:$L$1792)))&gt;0))</f>
        <v>9</v>
      </c>
    </row>
    <row r="25" spans="2:17" hidden="1">
      <c r="B25" s="240" t="s">
        <v>3374</v>
      </c>
      <c r="C25" s="246" cm="1">
        <f t="array" ref="C25">SUMPRODUCT(--(ISNUMBER(SEARCH("Latvia",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5" s="247" cm="1">
        <f t="array" ref="D25">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5" s="247" cm="1">
        <f t="array" ref="E25">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5" s="247" cm="1">
        <f t="array" ref="F25">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5" s="247" cm="1">
        <f t="array" ref="G25">SUMPRODUCT(--(ISNUMBER(SEARCH("Latvia",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5" s="247" cm="1">
        <f t="array" ref="H25">SUMPRODUCT(--(ISNUMBER(SEARCH("Latvia", 'Inventory - Public Private FMS'!$J$17:$J$1792))
* ISNUMBER(SEARCH("Private", 'Inventory - Public Private FMS'!$L$17:$L$1792))
* ((ISNUMBER(SEARCH("Eggs", 'Inventory - Public Private FMS'!$F$17:$F$1792)))
+ (ISNUMBER(SEARCH("All food commodities", 'Inventory - Public Private FMS'!$F$17:$F$1792))) &gt; 0)))</f>
        <v>0</v>
      </c>
      <c r="I25" s="247" cm="1">
        <f t="array" ref="I25">SUMPRODUCT(--(ISNUMBER(SEARCH("Latvia", 'Inventory - Public Private FMS'!$J$17:$J$1792))
* ISNUMBER(SEARCH("Private", 'Inventory - Public Private FMS'!$L$17:$L$1792))
* ((ISNUMBER(SEARCH("Fish", 'Inventory - Public Private FMS'!$F$17:$F$1792)))
+ (ISNUMBER(SEARCH("All food commodities", 'Inventory - Public Private FMS'!$F$17:$F$1792))) &gt; 0)))</f>
        <v>0</v>
      </c>
      <c r="J25" s="247" cm="1">
        <f t="array" ref="J25">SUMPRODUCT(--(ISNUMBER(SEARCH("Latvia", 'Inventory - Public Private FMS'!$J$17:$J$1792))
* ISNUMBER(SEARCH("Private", 'Inventory - Public Private FMS'!$L$17:$L$1792))
* ((ISNUMBER(SEARCH("Cereals", 'Inventory - Public Private FMS'!$F$17:$F$1792)))
+ (ISNUMBER(SEARCH("All food commodities", 'Inventory - Public Private FMS'!$F$17:$F$1792))) &gt; 0)))</f>
        <v>0</v>
      </c>
      <c r="K25" s="224"/>
      <c r="L25" s="247" cm="1">
        <f t="array" ref="L25">SUMPRODUCT(--(ISNUMBER(SEARCH("Latvia", 'Inventory - Public Private FMS'!$J$17:$J$1792))
* ISNUMBER(SEARCH("Private", 'Inventory - Public Private FMS'!$L$17:$L$1792))
* ((ISNUMBER(SEARCH("Primary Production", 'Inventory - Public Private FMS'!$N$17:$N$1792)))
+ (ISNUMBER(SEARCH("All Stages", 'Inventory - Public Private FMS'!$N$17:$N$1792))) &gt; 0)))</f>
        <v>0</v>
      </c>
      <c r="M25" s="247" cm="1">
        <f t="array" ref="M25">SUMPRODUCT(--(ISNUMBER(SEARCH("Latvia", 'Inventory - Public Private FMS'!$J$17:$J$1792))
* ISNUMBER(SEARCH("Private", 'Inventory - Public Private FMS'!$L$17:$L$1792))
* ((ISNUMBER(SEARCH("Processing &amp; Manufacturing", 'Inventory - Public Private FMS'!$N$17:$N$1792)))
+ (ISNUMBER(SEARCH("All Stages", 'Inventory - Public Private FMS'!$N$17:$N$1792))) &gt; 0)))</f>
        <v>0</v>
      </c>
      <c r="N25" s="247" cm="1">
        <f t="array" ref="N25">SUMPRODUCT(--(ISNUMBER(SEARCH("Latvia", 'Inventory - Public Private FMS'!$J$17:$J$1792))
* ISNUMBER(SEARCH("Private", 'Inventory - Public Private FMS'!$L$17:$L$1792))
* ((ISNUMBER(SEARCH("Retail", 'Inventory - Public Private FMS'!$N$17:$N$1792)))
+ (ISNUMBER(SEARCH("All Stages", 'Inventory - Public Private FMS'!$N$17:$N$1792))) &gt; 0)))</f>
        <v>0</v>
      </c>
      <c r="O25" s="247" cm="1">
        <f t="array" ref="O25">SUMPRODUCT(--(ISNUMBER(SEARCH("Latvia", 'Inventory - Public Private FMS'!$J$17:$J$1792))
* ISNUMBER(SEARCH("Private", 'Inventory - Public Private FMS'!$L$17:$L$1792))
* ((ISNUMBER(SEARCH("Food services", 'Inventory - Public Private FMS'!$N$17:$N$1792)))
+ (ISNUMBER(SEARCH("All Stages", 'Inventory - Public Private FMS'!$N$17:$N$1792))) &gt; 0)))</f>
        <v>0</v>
      </c>
      <c r="P25" s="224"/>
      <c r="Q25" s="246" cm="1">
        <f t="array" ref="Q25">SUMPRODUCT(--(ISNUMBER(SEARCH("Latvia",'Inventory - Public Private FMS'!$J$17:$J$1792))
*(ISNUMBER(SEARCH("Private",'Inventory - Public Private FMS'!$L$17:$L$1792)))&gt;0))</f>
        <v>0</v>
      </c>
    </row>
    <row r="26" spans="2:17" hidden="1">
      <c r="B26" s="240" t="s">
        <v>3945</v>
      </c>
      <c r="C26" s="246" cm="1">
        <f t="array" ref="C26">SUMPRODUCT(--(ISNUMBER(SEARCH("Lithuania",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6" s="247" cm="1">
        <f t="array" ref="D26">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6" s="247" cm="1">
        <f t="array" ref="E26">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6" s="247" cm="1">
        <f t="array" ref="F26">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6" s="247" cm="1">
        <f t="array" ref="G26">SUMPRODUCT(--(ISNUMBER(SEARCH("Lithuania",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6" s="247" cm="1">
        <f t="array" ref="H26">SUMPRODUCT(--(ISNUMBER(SEARCH("Lithuania", 'Inventory - Public Private FMS'!$J$17:$J$1792))
* ISNUMBER(SEARCH("Private", 'Inventory - Public Private FMS'!$L$17:$L$1792))
* ((ISNUMBER(SEARCH("Eggs", 'Inventory - Public Private FMS'!$F$17:$F$1792)))
+ (ISNUMBER(SEARCH("All food commodities", 'Inventory - Public Private FMS'!$F$17:$F$1792))) &gt; 0)))</f>
        <v>0</v>
      </c>
      <c r="I26" s="247" cm="1">
        <f t="array" ref="I26">SUMPRODUCT(--(ISNUMBER(SEARCH("Lithuania", 'Inventory - Public Private FMS'!$J$17:$J$1792))
* ISNUMBER(SEARCH("Private", 'Inventory - Public Private FMS'!$L$17:$L$1792))
* ((ISNUMBER(SEARCH("Fish", 'Inventory - Public Private FMS'!$F$17:$F$1792)))
+ (ISNUMBER(SEARCH("All food commodities", 'Inventory - Public Private FMS'!$F$17:$F$1792))) &gt; 0)))</f>
        <v>0</v>
      </c>
      <c r="J26" s="247" cm="1">
        <f t="array" ref="J26">SUMPRODUCT(--(ISNUMBER(SEARCH("Lithuania", 'Inventory - Public Private FMS'!$J$17:$J$1792))
* ISNUMBER(SEARCH("Private", 'Inventory - Public Private FMS'!$L$17:$L$1792))
* ((ISNUMBER(SEARCH("Cereals", 'Inventory - Public Private FMS'!$F$17:$F$1792)))
+ (ISNUMBER(SEARCH("All food commodities", 'Inventory - Public Private FMS'!$F$17:$F$1792))) &gt; 0)))</f>
        <v>0</v>
      </c>
      <c r="K26" s="224"/>
      <c r="L26" s="247" cm="1">
        <f t="array" ref="L26">SUMPRODUCT(--(ISNUMBER(SEARCH("Lithuania", 'Inventory - Public Private FMS'!$J$17:$J$1792))
* ISNUMBER(SEARCH("Private", 'Inventory - Public Private FMS'!$L$17:$L$1792))
* ((ISNUMBER(SEARCH("Primary Production", 'Inventory - Public Private FMS'!$N$17:$N$1792)))
+ (ISNUMBER(SEARCH("All Stages", 'Inventory - Public Private FMS'!$N$17:$N$1792))) &gt; 0)))</f>
        <v>0</v>
      </c>
      <c r="M26" s="247" cm="1">
        <f t="array" ref="M26">SUMPRODUCT(--(ISNUMBER(SEARCH("Lithuania", 'Inventory - Public Private FMS'!$J$17:$J$1792))
* ISNUMBER(SEARCH("Private", 'Inventory - Public Private FMS'!$L$17:$L$1792))
* ((ISNUMBER(SEARCH("Processing &amp; Manufacturing", 'Inventory - Public Private FMS'!$N$17:$N$1792)))
+ (ISNUMBER(SEARCH("All Stages", 'Inventory - Public Private FMS'!$N$17:$N$1792))) &gt; 0)))</f>
        <v>0</v>
      </c>
      <c r="N26" s="247" cm="1">
        <f t="array" ref="N26">SUMPRODUCT(--(ISNUMBER(SEARCH("Lithuania", 'Inventory - Public Private FMS'!$J$17:$J$1792))
* ISNUMBER(SEARCH("Private", 'Inventory - Public Private FMS'!$L$17:$L$1792))
* ((ISNUMBER(SEARCH("Retail", 'Inventory - Public Private FMS'!$N$17:$N$1792)))
+ (ISNUMBER(SEARCH("All Stages", 'Inventory - Public Private FMS'!$N$17:$N$1792))) &gt; 0)))</f>
        <v>0</v>
      </c>
      <c r="O26" s="247" cm="1">
        <f t="array" ref="O26">SUMPRODUCT(--(ISNUMBER(SEARCH("Lithuania", 'Inventory - Public Private FMS'!$J$17:$J$1792))
* ISNUMBER(SEARCH("Private", 'Inventory - Public Private FMS'!$L$17:$L$1792))
* ((ISNUMBER(SEARCH("Food services", 'Inventory - Public Private FMS'!$N$17:$N$1792)))
+ (ISNUMBER(SEARCH("All Stages", 'Inventory - Public Private FMS'!$N$17:$N$1792))) &gt; 0)))</f>
        <v>0</v>
      </c>
      <c r="P26" s="224"/>
      <c r="Q26" s="246" cm="1">
        <f t="array" ref="Q26">SUMPRODUCT(--(ISNUMBER(SEARCH("Lithuania",'Inventory - Public Private FMS'!$J$17:$J$1792))
*(ISNUMBER(SEARCH("Private",'Inventory - Public Private FMS'!$L$17:$L$1792)))&gt;0))</f>
        <v>0</v>
      </c>
    </row>
    <row r="27" spans="2:17" hidden="1">
      <c r="B27" s="240" t="s">
        <v>3946</v>
      </c>
      <c r="C27" s="246" cm="1">
        <f t="array" ref="C27">SUMPRODUCT(--(ISNUMBER(SEARCH("Luxembourg",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7" s="247" cm="1">
        <f t="array" ref="D27">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7" s="247" cm="1">
        <f t="array" ref="E27">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7" s="247" cm="1">
        <f t="array" ref="F27">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7" s="247" cm="1">
        <f t="array" ref="G27">SUMPRODUCT(--(ISNUMBER(SEARCH("Luxembourg",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7" s="247" cm="1">
        <f t="array" ref="H27">SUMPRODUCT(--(ISNUMBER(SEARCH("Luxembourg", 'Inventory - Public Private FMS'!$J$17:$J$1792))
* ISNUMBER(SEARCH("Private", 'Inventory - Public Private FMS'!$L$17:$L$1792))
* ((ISNUMBER(SEARCH("Eggs", 'Inventory - Public Private FMS'!$F$17:$F$1792)))
+ (ISNUMBER(SEARCH("All food commodities", 'Inventory - Public Private FMS'!$F$17:$F$1792))) &gt; 0)))</f>
        <v>0</v>
      </c>
      <c r="I27" s="247" cm="1">
        <f t="array" ref="I27">SUMPRODUCT(--(ISNUMBER(SEARCH("Luxembourg", 'Inventory - Public Private FMS'!$J$17:$J$1792))
* ISNUMBER(SEARCH("Private", 'Inventory - Public Private FMS'!$L$17:$L$1792))
* ((ISNUMBER(SEARCH("Fish", 'Inventory - Public Private FMS'!$F$17:$F$1792)))
+ (ISNUMBER(SEARCH("All food commodities", 'Inventory - Public Private FMS'!$F$17:$F$1792))) &gt; 0)))</f>
        <v>0</v>
      </c>
      <c r="J27" s="247" cm="1">
        <f t="array" ref="J27">SUMPRODUCT(--(ISNUMBER(SEARCH("Luxembourg", 'Inventory - Public Private FMS'!$J$17:$J$1792))
* ISNUMBER(SEARCH("Private", 'Inventory - Public Private FMS'!$L$17:$L$1792))
* ((ISNUMBER(SEARCH("Cereals", 'Inventory - Public Private FMS'!$F$17:$F$1792)))
+ (ISNUMBER(SEARCH("All food commodities", 'Inventory - Public Private FMS'!$F$17:$F$1792))) &gt; 0)))</f>
        <v>0</v>
      </c>
      <c r="K27" s="224"/>
      <c r="L27" s="247" cm="1">
        <f t="array" ref="L27">SUMPRODUCT(--(ISNUMBER(SEARCH("Luxembourg", 'Inventory - Public Private FMS'!$J$17:$J$1792))
* ISNUMBER(SEARCH("Private", 'Inventory - Public Private FMS'!$L$17:$L$1792))
* ((ISNUMBER(SEARCH("Primary Production", 'Inventory - Public Private FMS'!$N$17:$N$1792)))
+ (ISNUMBER(SEARCH("All Stages", 'Inventory - Public Private FMS'!$N$17:$N$1792))) &gt; 0)))</f>
        <v>0</v>
      </c>
      <c r="M27" s="247" cm="1">
        <f t="array" ref="M27">SUMPRODUCT(--(ISNUMBER(SEARCH("Luxembourg", 'Inventory - Public Private FMS'!$J$17:$J$1792))
* ISNUMBER(SEARCH("Private", 'Inventory - Public Private FMS'!$L$17:$L$1792))
* ((ISNUMBER(SEARCH("Processing &amp; Manufacturing", 'Inventory - Public Private FMS'!$N$17:$N$1792)))
+ (ISNUMBER(SEARCH("All Stages", 'Inventory - Public Private FMS'!$N$17:$N$1792))) &gt; 0)))</f>
        <v>0</v>
      </c>
      <c r="N27" s="247" cm="1">
        <f t="array" ref="N27">SUMPRODUCT(--(ISNUMBER(SEARCH("Luxembourg", 'Inventory - Public Private FMS'!$J$17:$J$1792))
* ISNUMBER(SEARCH("Private", 'Inventory - Public Private FMS'!$L$17:$L$1792))
* ((ISNUMBER(SEARCH("Retail", 'Inventory - Public Private FMS'!$N$17:$N$1792)))
+ (ISNUMBER(SEARCH("All Stages", 'Inventory - Public Private FMS'!$N$17:$N$1792))) &gt; 0)))</f>
        <v>0</v>
      </c>
      <c r="O27" s="247" cm="1">
        <f t="array" ref="O27">SUMPRODUCT(--(ISNUMBER(SEARCH("Luxembourg", 'Inventory - Public Private FMS'!$J$17:$J$1792))
* ISNUMBER(SEARCH("Private", 'Inventory - Public Private FMS'!$L$17:$L$1792))
* ((ISNUMBER(SEARCH("Food services", 'Inventory - Public Private FMS'!$N$17:$N$1792)))
+ (ISNUMBER(SEARCH("All Stages", 'Inventory - Public Private FMS'!$N$17:$N$1792))) &gt; 0)))</f>
        <v>0</v>
      </c>
      <c r="P27" s="224"/>
      <c r="Q27" s="246" cm="1">
        <f t="array" ref="Q27">SUMPRODUCT(--(ISNUMBER(SEARCH("Luxembourg",'Inventory - Public Private FMS'!$J$17:$J$1792))
*(ISNUMBER(SEARCH("Private",'Inventory - Public Private FMS'!$L$17:$L$1792)))&gt;0))</f>
        <v>0</v>
      </c>
    </row>
    <row r="28" spans="2:17" hidden="1">
      <c r="B28" s="240" t="s">
        <v>3205</v>
      </c>
      <c r="C28" s="246" cm="1">
        <f t="array" ref="C28">SUMPRODUCT(--(ISNUMBER(SEARCH("Malta",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28" s="247" cm="1">
        <f t="array" ref="D28">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28" s="247" cm="1">
        <f t="array" ref="E28">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28" s="247" cm="1">
        <f t="array" ref="F28">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28" s="247" cm="1">
        <f t="array" ref="G28">SUMPRODUCT(--(ISNUMBER(SEARCH("Malta",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28" s="247" cm="1">
        <f t="array" ref="H28">SUMPRODUCT(--(ISNUMBER(SEARCH("Malta", 'Inventory - Public Private FMS'!$J$17:$J$1792))
* ISNUMBER(SEARCH("Private", 'Inventory - Public Private FMS'!$L$17:$L$1792))
* ((ISNUMBER(SEARCH("Eggs", 'Inventory - Public Private FMS'!$F$17:$F$1792)))
+ (ISNUMBER(SEARCH("All food commodities", 'Inventory - Public Private FMS'!$F$17:$F$1792))) &gt; 0)))</f>
        <v>0</v>
      </c>
      <c r="I28" s="247" cm="1">
        <f t="array" ref="I28">SUMPRODUCT(--(ISNUMBER(SEARCH("Malta", 'Inventory - Public Private FMS'!$J$17:$J$1792))
* ISNUMBER(SEARCH("Private", 'Inventory - Public Private FMS'!$L$17:$L$1792))
* ((ISNUMBER(SEARCH("Fish", 'Inventory - Public Private FMS'!$F$17:$F$1792)))
+ (ISNUMBER(SEARCH("All food commodities", 'Inventory - Public Private FMS'!$F$17:$F$1792))) &gt; 0)))</f>
        <v>0</v>
      </c>
      <c r="J28" s="247" cm="1">
        <f t="array" ref="J28">SUMPRODUCT(--(ISNUMBER(SEARCH("Malta", 'Inventory - Public Private FMS'!$J$17:$J$1792))
* ISNUMBER(SEARCH("Private", 'Inventory - Public Private FMS'!$L$17:$L$1792))
* ((ISNUMBER(SEARCH("Cereals", 'Inventory - Public Private FMS'!$F$17:$F$1792)))
+ (ISNUMBER(SEARCH("All food commodities", 'Inventory - Public Private FMS'!$F$17:$F$1792))) &gt; 0)))</f>
        <v>0</v>
      </c>
      <c r="K28" s="224"/>
      <c r="L28" s="247" cm="1">
        <f t="array" ref="L28">SUMPRODUCT(--(ISNUMBER(SEARCH("Malta", 'Inventory - Public Private FMS'!$J$17:$J$1792))
* ISNUMBER(SEARCH("Private", 'Inventory - Public Private FMS'!$L$17:$L$1792))
* ((ISNUMBER(SEARCH("Primary Production", 'Inventory - Public Private FMS'!$N$17:$N$1792)))
+ (ISNUMBER(SEARCH("All Stages", 'Inventory - Public Private FMS'!$N$17:$N$1792))) &gt; 0)))</f>
        <v>0</v>
      </c>
      <c r="M28" s="247" cm="1">
        <f t="array" ref="M28">SUMPRODUCT(--(ISNUMBER(SEARCH("Malta", 'Inventory - Public Private FMS'!$J$17:$J$1792))
* ISNUMBER(SEARCH("Private", 'Inventory - Public Private FMS'!$L$17:$L$1792))
* ((ISNUMBER(SEARCH("Processing &amp; Manufacturing", 'Inventory - Public Private FMS'!$N$17:$N$1792)))
+ (ISNUMBER(SEARCH("All Stages", 'Inventory - Public Private FMS'!$N$17:$N$1792))) &gt; 0)))</f>
        <v>0</v>
      </c>
      <c r="N28" s="247" cm="1">
        <f t="array" ref="N28">SUMPRODUCT(--(ISNUMBER(SEARCH("Malta", 'Inventory - Public Private FMS'!$J$17:$J$1792))
* ISNUMBER(SEARCH("Private", 'Inventory - Public Private FMS'!$L$17:$L$1792))
* ((ISNUMBER(SEARCH("Retail", 'Inventory - Public Private FMS'!$N$17:$N$1792)))
+ (ISNUMBER(SEARCH("All Stages", 'Inventory - Public Private FMS'!$N$17:$N$1792))) &gt; 0)))</f>
        <v>0</v>
      </c>
      <c r="O28" s="247" cm="1">
        <f t="array" ref="O28">SUMPRODUCT(--(ISNUMBER(SEARCH("Malta", 'Inventory - Public Private FMS'!$J$17:$J$1792))
* ISNUMBER(SEARCH("Private", 'Inventory - Public Private FMS'!$L$17:$L$1792))
* ((ISNUMBER(SEARCH("Food services", 'Inventory - Public Private FMS'!$N$17:$N$1792)))
+ (ISNUMBER(SEARCH("All Stages", 'Inventory - Public Private FMS'!$N$17:$N$1792))) &gt; 0)))</f>
        <v>0</v>
      </c>
      <c r="P28" s="224"/>
      <c r="Q28" s="246" cm="1">
        <f t="array" ref="Q28">SUMPRODUCT(--(ISNUMBER(SEARCH("Malta",'Inventory - Public Private FMS'!$J$17:$J$1792))
*(ISNUMBER(SEARCH("Private",'Inventory - Public Private FMS'!$L$17:$L$1792)))&gt;0))</f>
        <v>0</v>
      </c>
    </row>
    <row r="29" spans="2:17">
      <c r="B29" s="240" t="s">
        <v>587</v>
      </c>
      <c r="C29" s="246" cm="1">
        <f t="array" ref="C29">SUMPRODUCT(--(ISNUMBER(SEARCH("Netherlands",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4</v>
      </c>
      <c r="D29" s="247" cm="1">
        <f t="array" ref="D29">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1</v>
      </c>
      <c r="E29" s="247" cm="1">
        <f t="array" ref="E29">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1</v>
      </c>
      <c r="F29" s="247" cm="1">
        <f t="array" ref="F29">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2</v>
      </c>
      <c r="G29" s="247" cm="1">
        <f t="array" ref="G29">SUMPRODUCT(--(ISNUMBER(SEARCH("Netherlands",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2</v>
      </c>
      <c r="H29" s="247" cm="1">
        <f t="array" ref="H29">SUMPRODUCT(--(ISNUMBER(SEARCH("Netherlands", 'Inventory - Public Private FMS'!$J$17:$J$1792))
* ISNUMBER(SEARCH("Private", 'Inventory - Public Private FMS'!$L$17:$L$1792))
* ((ISNUMBER(SEARCH("Eggs", 'Inventory - Public Private FMS'!$F$17:$F$1792)))
+ (ISNUMBER(SEARCH("All food commodities", 'Inventory - Public Private FMS'!$F$17:$F$1792))) &gt; 0)))</f>
        <v>0</v>
      </c>
      <c r="I29" s="247" cm="1">
        <f t="array" ref="I29">SUMPRODUCT(--(ISNUMBER(SEARCH("Netherlands", 'Inventory - Public Private FMS'!$J$17:$J$1792))
* ISNUMBER(SEARCH("Private", 'Inventory - Public Private FMS'!$L$17:$L$1792))
* ((ISNUMBER(SEARCH("Fish", 'Inventory - Public Private FMS'!$F$17:$F$1792)))
+ (ISNUMBER(SEARCH("All food commodities", 'Inventory - Public Private FMS'!$F$17:$F$1792))) &gt; 0)))</f>
        <v>0</v>
      </c>
      <c r="J29" s="247" cm="1">
        <f t="array" ref="J29">SUMPRODUCT(--(ISNUMBER(SEARCH("Netherlands", 'Inventory - Public Private FMS'!$J$17:$J$1792))
* ISNUMBER(SEARCH("Private", 'Inventory - Public Private FMS'!$L$17:$L$1792))
* ((ISNUMBER(SEARCH("Cereals", 'Inventory - Public Private FMS'!$F$17:$F$1792)))
+ (ISNUMBER(SEARCH("All food commodities", 'Inventory - Public Private FMS'!$F$17:$F$1792))) &gt; 0)))</f>
        <v>0</v>
      </c>
      <c r="K29" s="224"/>
      <c r="L29" s="247" cm="1">
        <f t="array" ref="L29">SUMPRODUCT(--(ISNUMBER(SEARCH("Netherlands", 'Inventory - Public Private FMS'!$J$17:$J$1792))
* ISNUMBER(SEARCH("Private", 'Inventory - Public Private FMS'!$L$17:$L$1792))
* ((ISNUMBER(SEARCH("Primary Production", 'Inventory - Public Private FMS'!$N$17:$N$1792)))
+ (ISNUMBER(SEARCH("All Stages", 'Inventory - Public Private FMS'!$N$17:$N$1792))) &gt; 0)))</f>
        <v>4</v>
      </c>
      <c r="M29" s="247" cm="1">
        <f t="array" ref="M29">SUMPRODUCT(--(ISNUMBER(SEARCH("Netherlands", 'Inventory - Public Private FMS'!$J$17:$J$1792))
* ISNUMBER(SEARCH("Private", 'Inventory - Public Private FMS'!$L$17:$L$1792))
* ((ISNUMBER(SEARCH("Processing &amp; Manufacturing", 'Inventory - Public Private FMS'!$N$17:$N$1792)))
+ (ISNUMBER(SEARCH("All Stages", 'Inventory - Public Private FMS'!$N$17:$N$1792))) &gt; 0)))</f>
        <v>1</v>
      </c>
      <c r="N29" s="247" cm="1">
        <f t="array" ref="N29">SUMPRODUCT(--(ISNUMBER(SEARCH("Netherlands", 'Inventory - Public Private FMS'!$J$17:$J$1792))
* ISNUMBER(SEARCH("Private", 'Inventory - Public Private FMS'!$L$17:$L$1792))
* ((ISNUMBER(SEARCH("Retail", 'Inventory - Public Private FMS'!$N$17:$N$1792)))
+ (ISNUMBER(SEARCH("All Stages", 'Inventory - Public Private FMS'!$N$17:$N$1792))) &gt; 0)))</f>
        <v>2</v>
      </c>
      <c r="O29" s="247" cm="1">
        <f t="array" ref="O29">SUMPRODUCT(--(ISNUMBER(SEARCH("Netherlands", 'Inventory - Public Private FMS'!$J$17:$J$1792))
* ISNUMBER(SEARCH("Private", 'Inventory - Public Private FMS'!$L$17:$L$1792))
* ((ISNUMBER(SEARCH("Food services", 'Inventory - Public Private FMS'!$N$17:$N$1792)))
+ (ISNUMBER(SEARCH("All Stages", 'Inventory - Public Private FMS'!$N$17:$N$1792))) &gt; 0)))</f>
        <v>1</v>
      </c>
      <c r="P29" s="224"/>
      <c r="Q29" s="246" cm="1">
        <f t="array" ref="Q29">SUMPRODUCT(--(ISNUMBER(SEARCH("Netherlands",'Inventory - Public Private FMS'!$J$17:$J$1792))
*(ISNUMBER(SEARCH("Private",'Inventory - Public Private FMS'!$L$17:$L$1792)))&gt;0))</f>
        <v>6</v>
      </c>
    </row>
    <row r="30" spans="2:17">
      <c r="B30" s="240" t="s">
        <v>694</v>
      </c>
      <c r="C30" s="246" cm="1">
        <f t="array" ref="C30">SUMPRODUCT(--(ISNUMBER(SEARCH("Poland",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30" s="247" cm="1">
        <f t="array" ref="D30">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0" s="247" cm="1">
        <f t="array" ref="E30">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4</v>
      </c>
      <c r="F30" s="247" cm="1">
        <f t="array" ref="F30">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1</v>
      </c>
      <c r="G30" s="247" cm="1">
        <f t="array" ref="G30">SUMPRODUCT(--(ISNUMBER(SEARCH("Poland",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5</v>
      </c>
      <c r="H30" s="247" cm="1">
        <f t="array" ref="H30">SUMPRODUCT(--(ISNUMBER(SEARCH("Poland", 'Inventory - Public Private FMS'!$J$17:$J$1792))
* ISNUMBER(SEARCH("Private", 'Inventory - Public Private FMS'!$L$17:$L$1792))
* ((ISNUMBER(SEARCH("Eggs", 'Inventory - Public Private FMS'!$F$17:$F$1792)))
+ (ISNUMBER(SEARCH("All food commodities", 'Inventory - Public Private FMS'!$F$17:$F$1792))) &gt; 0)))</f>
        <v>0</v>
      </c>
      <c r="I30" s="247" cm="1">
        <f t="array" ref="I30">SUMPRODUCT(--(ISNUMBER(SEARCH("Poland", 'Inventory - Public Private FMS'!$J$17:$J$1792))
* ISNUMBER(SEARCH("Private", 'Inventory - Public Private FMS'!$L$17:$L$1792))
* ((ISNUMBER(SEARCH("Fish", 'Inventory - Public Private FMS'!$F$17:$F$1792)))
+ (ISNUMBER(SEARCH("All food commodities", 'Inventory - Public Private FMS'!$F$17:$F$1792))) &gt; 0)))</f>
        <v>0</v>
      </c>
      <c r="J30" s="247" cm="1">
        <f t="array" ref="J30">SUMPRODUCT(--(ISNUMBER(SEARCH("Poland", 'Inventory - Public Private FMS'!$J$17:$J$1792))
* ISNUMBER(SEARCH("Private", 'Inventory - Public Private FMS'!$L$17:$L$1792))
* ((ISNUMBER(SEARCH("Cereals", 'Inventory - Public Private FMS'!$F$17:$F$1792)))
+ (ISNUMBER(SEARCH("All food commodities", 'Inventory - Public Private FMS'!$F$17:$F$1792))) &gt; 0)))</f>
        <v>0</v>
      </c>
      <c r="K30" s="224"/>
      <c r="L30" s="247" cm="1">
        <f t="array" ref="L30">SUMPRODUCT(--(ISNUMBER(SEARCH("Poland", 'Inventory - Public Private FMS'!$J$17:$J$1792))
* ISNUMBER(SEARCH("Private", 'Inventory - Public Private FMS'!$L$17:$L$1792))
* ((ISNUMBER(SEARCH("Primary Production", 'Inventory - Public Private FMS'!$N$17:$N$1792)))
+ (ISNUMBER(SEARCH("All Stages", 'Inventory - Public Private FMS'!$N$17:$N$1792))) &gt; 0)))</f>
        <v>1</v>
      </c>
      <c r="M30" s="247" cm="1">
        <f t="array" ref="M30">SUMPRODUCT(--(ISNUMBER(SEARCH("Poland", 'Inventory - Public Private FMS'!$J$17:$J$1792))
* ISNUMBER(SEARCH("Private", 'Inventory - Public Private FMS'!$L$17:$L$1792))
* ((ISNUMBER(SEARCH("Processing &amp; Manufacturing", 'Inventory - Public Private FMS'!$N$17:$N$1792)))
+ (ISNUMBER(SEARCH("All Stages", 'Inventory - Public Private FMS'!$N$17:$N$1792))) &gt; 0)))</f>
        <v>4</v>
      </c>
      <c r="N30" s="247" cm="1">
        <f t="array" ref="N30">SUMPRODUCT(--(ISNUMBER(SEARCH("Poland", 'Inventory - Public Private FMS'!$J$17:$J$1792))
* ISNUMBER(SEARCH("Private", 'Inventory - Public Private FMS'!$L$17:$L$1792))
* ((ISNUMBER(SEARCH("Retail", 'Inventory - Public Private FMS'!$N$17:$N$1792)))
+ (ISNUMBER(SEARCH("All Stages", 'Inventory - Public Private FMS'!$N$17:$N$1792))) &gt; 0)))</f>
        <v>0</v>
      </c>
      <c r="O30" s="247" cm="1">
        <f t="array" ref="O30">SUMPRODUCT(--(ISNUMBER(SEARCH("Poland", 'Inventory - Public Private FMS'!$J$17:$J$1792))
* ISNUMBER(SEARCH("Private", 'Inventory - Public Private FMS'!$L$17:$L$1792))
* ((ISNUMBER(SEARCH("Food services", 'Inventory - Public Private FMS'!$N$17:$N$1792)))
+ (ISNUMBER(SEARCH("All Stages", 'Inventory - Public Private FMS'!$N$17:$N$1792))) &gt; 0)))</f>
        <v>0</v>
      </c>
      <c r="P30" s="224"/>
      <c r="Q30" s="246" cm="1">
        <f t="array" ref="Q30">SUMPRODUCT(--(ISNUMBER(SEARCH("Poland",'Inventory - Public Private FMS'!$J$17:$J$1792))
*(ISNUMBER(SEARCH("Private",'Inventory - Public Private FMS'!$L$17:$L$1792)))&gt;0))</f>
        <v>5</v>
      </c>
    </row>
    <row r="31" spans="2:17">
      <c r="B31" s="240" t="s">
        <v>605</v>
      </c>
      <c r="C31" s="246" cm="1">
        <f t="array" ref="C31">SUMPRODUCT(--(ISNUMBER(SEARCH("Portugal",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7</v>
      </c>
      <c r="D31" s="247" cm="1">
        <f t="array" ref="D3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1" s="247" cm="1">
        <f t="array" ref="E3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31" s="247" cm="1">
        <f t="array" ref="F3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31" s="247" cm="1">
        <f t="array" ref="G31">SUMPRODUCT(--(ISNUMBER(SEARCH("Portugal",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31" s="247" cm="1">
        <f t="array" ref="H31">SUMPRODUCT(--(ISNUMBER(SEARCH("Portugal", 'Inventory - Public Private FMS'!$J$17:$J$1792))
* ISNUMBER(SEARCH("Private", 'Inventory - Public Private FMS'!$L$17:$L$1792))
* ((ISNUMBER(SEARCH("Eggs", 'Inventory - Public Private FMS'!$F$17:$F$1792)))
+ (ISNUMBER(SEARCH("All food commodities", 'Inventory - Public Private FMS'!$F$17:$F$1792))) &gt; 0)))</f>
        <v>0</v>
      </c>
      <c r="I31" s="247" cm="1">
        <f t="array" ref="I31">SUMPRODUCT(--(ISNUMBER(SEARCH("Portugal", 'Inventory - Public Private FMS'!$J$17:$J$1792))
* ISNUMBER(SEARCH("Private", 'Inventory - Public Private FMS'!$L$17:$L$1792))
* ((ISNUMBER(SEARCH("Fish", 'Inventory - Public Private FMS'!$F$17:$F$1792)))
+ (ISNUMBER(SEARCH("All food commodities", 'Inventory - Public Private FMS'!$F$17:$F$1792))) &gt; 0)))</f>
        <v>0</v>
      </c>
      <c r="J31" s="247" cm="1">
        <f t="array" ref="J31">SUMPRODUCT(--(ISNUMBER(SEARCH("Portugal", 'Inventory - Public Private FMS'!$J$17:$J$1792))
* ISNUMBER(SEARCH("Private", 'Inventory - Public Private FMS'!$L$17:$L$1792))
* ((ISNUMBER(SEARCH("Cereals", 'Inventory - Public Private FMS'!$F$17:$F$1792)))
+ (ISNUMBER(SEARCH("All food commodities", 'Inventory - Public Private FMS'!$F$17:$F$1792))) &gt; 0)))</f>
        <v>1</v>
      </c>
      <c r="K31" s="224"/>
      <c r="L31" s="247" cm="1">
        <f t="array" ref="L31">SUMPRODUCT(--(ISNUMBER(SEARCH("Portugal", 'Inventory - Public Private FMS'!$J$17:$J$1792))
* ISNUMBER(SEARCH("Private", 'Inventory - Public Private FMS'!$L$17:$L$1792))
* ((ISNUMBER(SEARCH("Primary Production", 'Inventory - Public Private FMS'!$N$17:$N$1792)))
+ (ISNUMBER(SEARCH("All Stages", 'Inventory - Public Private FMS'!$N$17:$N$1792))) &gt; 0)))</f>
        <v>1</v>
      </c>
      <c r="M31" s="247" cm="1">
        <f t="array" ref="M31">SUMPRODUCT(--(ISNUMBER(SEARCH("Portugal", 'Inventory - Public Private FMS'!$J$17:$J$1792))
* ISNUMBER(SEARCH("Private", 'Inventory - Public Private FMS'!$L$17:$L$1792))
* ((ISNUMBER(SEARCH("Processing &amp; Manufacturing", 'Inventory - Public Private FMS'!$N$17:$N$1792)))
+ (ISNUMBER(SEARCH("All Stages", 'Inventory - Public Private FMS'!$N$17:$N$1792))) &gt; 0)))</f>
        <v>0</v>
      </c>
      <c r="N31" s="247" cm="1">
        <f t="array" ref="N31">SUMPRODUCT(--(ISNUMBER(SEARCH("Portugal", 'Inventory - Public Private FMS'!$J$17:$J$1792))
* ISNUMBER(SEARCH("Private", 'Inventory - Public Private FMS'!$L$17:$L$1792))
* ((ISNUMBER(SEARCH("Retail", 'Inventory - Public Private FMS'!$N$17:$N$1792)))
+ (ISNUMBER(SEARCH("All Stages", 'Inventory - Public Private FMS'!$N$17:$N$1792))) &gt; 0)))</f>
        <v>7</v>
      </c>
      <c r="O31" s="247" cm="1">
        <f t="array" ref="O31">SUMPRODUCT(--(ISNUMBER(SEARCH("Portugal", 'Inventory - Public Private FMS'!$J$17:$J$1792))
* ISNUMBER(SEARCH("Private", 'Inventory - Public Private FMS'!$L$17:$L$1792))
* ((ISNUMBER(SEARCH("Food services", 'Inventory - Public Private FMS'!$N$17:$N$1792)))
+ (ISNUMBER(SEARCH("All Stages", 'Inventory - Public Private FMS'!$N$17:$N$1792))) &gt; 0)))</f>
        <v>0</v>
      </c>
      <c r="P31" s="224"/>
      <c r="Q31" s="246" cm="1">
        <f t="array" ref="Q31">SUMPRODUCT(--(ISNUMBER(SEARCH("Portugal",'Inventory - Public Private FMS'!$J$17:$J$1792))
*(ISNUMBER(SEARCH("Private",'Inventory - Public Private FMS'!$L$17:$L$1792)))&gt;0))</f>
        <v>8</v>
      </c>
    </row>
    <row r="32" spans="2:17" hidden="1">
      <c r="B32" s="240" t="s">
        <v>3014</v>
      </c>
      <c r="C32" s="246" cm="1">
        <f t="array" ref="C32">SUMPRODUCT(--(ISNUMBER(SEARCH("Romania",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32" s="247" cm="1">
        <f t="array" ref="D32">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2" s="247" cm="1">
        <f t="array" ref="E32">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32" s="247" cm="1">
        <f t="array" ref="F32">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32" s="247" cm="1">
        <f t="array" ref="G32">SUMPRODUCT(--(ISNUMBER(SEARCH("Romania",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32" s="247" cm="1">
        <f t="array" ref="H32">SUMPRODUCT(--(ISNUMBER(SEARCH("Romania", 'Inventory - Public Private FMS'!$J$17:$J$1792))
* ISNUMBER(SEARCH("Private", 'Inventory - Public Private FMS'!$L$17:$L$1792))
* ((ISNUMBER(SEARCH("Eggs", 'Inventory - Public Private FMS'!$F$17:$F$1792)))
+ (ISNUMBER(SEARCH("All food commodities", 'Inventory - Public Private FMS'!$F$17:$F$1792))) &gt; 0)))</f>
        <v>0</v>
      </c>
      <c r="I32" s="247" cm="1">
        <f t="array" ref="I32">SUMPRODUCT(--(ISNUMBER(SEARCH("Romania", 'Inventory - Public Private FMS'!$J$17:$J$1792))
* ISNUMBER(SEARCH("Private", 'Inventory - Public Private FMS'!$L$17:$L$1792))
* ((ISNUMBER(SEARCH("Fish", 'Inventory - Public Private FMS'!$F$17:$F$1792)))
+ (ISNUMBER(SEARCH("All food commodities", 'Inventory - Public Private FMS'!$F$17:$F$1792))) &gt; 0)))</f>
        <v>0</v>
      </c>
      <c r="J32" s="247" cm="1">
        <f t="array" ref="J32">SUMPRODUCT(--(ISNUMBER(SEARCH("Romania", 'Inventory - Public Private FMS'!$J$17:$J$1792))
* ISNUMBER(SEARCH("Private", 'Inventory - Public Private FMS'!$L$17:$L$1792))
* ((ISNUMBER(SEARCH("Cereals", 'Inventory - Public Private FMS'!$F$17:$F$1792)))
+ (ISNUMBER(SEARCH("All food commodities", 'Inventory - Public Private FMS'!$F$17:$F$1792))) &gt; 0)))</f>
        <v>0</v>
      </c>
      <c r="K32" s="224"/>
      <c r="L32" s="247" cm="1">
        <f t="array" ref="L32">SUMPRODUCT(--(ISNUMBER(SEARCH("Romania", 'Inventory - Public Private FMS'!$J$17:$J$1792))
* ISNUMBER(SEARCH("Private", 'Inventory - Public Private FMS'!$L$17:$L$1792))
* ((ISNUMBER(SEARCH("Primary Production", 'Inventory - Public Private FMS'!$N$17:$N$1792)))
+ (ISNUMBER(SEARCH("All Stages", 'Inventory - Public Private FMS'!$N$17:$N$1792))) &gt; 0)))</f>
        <v>0</v>
      </c>
      <c r="M32" s="247" cm="1">
        <f t="array" ref="M32">SUMPRODUCT(--(ISNUMBER(SEARCH("Romania", 'Inventory - Public Private FMS'!$J$17:$J$1792))
* ISNUMBER(SEARCH("Private", 'Inventory - Public Private FMS'!$L$17:$L$1792))
* ((ISNUMBER(SEARCH("Processing &amp; Manufacturing", 'Inventory - Public Private FMS'!$N$17:$N$1792)))
+ (ISNUMBER(SEARCH("All Stages", 'Inventory - Public Private FMS'!$N$17:$N$1792))) &gt; 0)))</f>
        <v>0</v>
      </c>
      <c r="N32" s="247" cm="1">
        <f t="array" ref="N32">SUMPRODUCT(--(ISNUMBER(SEARCH("Romania", 'Inventory - Public Private FMS'!$J$17:$J$1792))
* ISNUMBER(SEARCH("Private", 'Inventory - Public Private FMS'!$L$17:$L$1792))
* ((ISNUMBER(SEARCH("Retail", 'Inventory - Public Private FMS'!$N$17:$N$1792)))
+ (ISNUMBER(SEARCH("All Stages", 'Inventory - Public Private FMS'!$N$17:$N$1792))) &gt; 0)))</f>
        <v>0</v>
      </c>
      <c r="O32" s="247" cm="1">
        <f t="array" ref="O32">SUMPRODUCT(--(ISNUMBER(SEARCH("Romania", 'Inventory - Public Private FMS'!$J$17:$J$1792))
* ISNUMBER(SEARCH("Private", 'Inventory - Public Private FMS'!$L$17:$L$1792))
* ((ISNUMBER(SEARCH("Food services", 'Inventory - Public Private FMS'!$N$17:$N$1792)))
+ (ISNUMBER(SEARCH("All Stages", 'Inventory - Public Private FMS'!$N$17:$N$1792))) &gt; 0)))</f>
        <v>0</v>
      </c>
      <c r="P32" s="224"/>
      <c r="Q32" s="246" cm="1">
        <f t="array" ref="Q32">SUMPRODUCT(--(ISNUMBER(SEARCH("Romania",'Inventory - Public Private FMS'!$J$17:$J$1792))
*(ISNUMBER(SEARCH("Private",'Inventory - Public Private FMS'!$L$17:$L$1792)))&gt;0))</f>
        <v>0</v>
      </c>
    </row>
    <row r="33" spans="2:17" hidden="1">
      <c r="B33" s="240" t="s">
        <v>3947</v>
      </c>
      <c r="C33" s="246" cm="1">
        <f t="array" ref="C33">SUMPRODUCT(--(ISNUMBER(SEARCH("Slovakia",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33" s="247" cm="1">
        <f t="array" ref="D33">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3" s="247" cm="1">
        <f t="array" ref="E33">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33" s="247" cm="1">
        <f t="array" ref="F33">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33" s="247" cm="1">
        <f t="array" ref="G33">SUMPRODUCT(--(ISNUMBER(SEARCH("Slovakia",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33" s="247" cm="1">
        <f t="array" ref="H33">SUMPRODUCT(--(ISNUMBER(SEARCH("Slovakia", 'Inventory - Public Private FMS'!$J$17:$J$1792))
* ISNUMBER(SEARCH("Private", 'Inventory - Public Private FMS'!$L$17:$L$1792))
* ((ISNUMBER(SEARCH("Eggs", 'Inventory - Public Private FMS'!$F$17:$F$1792)))
+ (ISNUMBER(SEARCH("All food commodities", 'Inventory - Public Private FMS'!$F$17:$F$1792))) &gt; 0)))</f>
        <v>0</v>
      </c>
      <c r="I33" s="247" cm="1">
        <f t="array" ref="I33">SUMPRODUCT(--(ISNUMBER(SEARCH("Slovakia", 'Inventory - Public Private FMS'!$J$17:$J$1792))
* ISNUMBER(SEARCH("Private", 'Inventory - Public Private FMS'!$L$17:$L$1792))
* ((ISNUMBER(SEARCH("Fish", 'Inventory - Public Private FMS'!$F$17:$F$1792)))
+ (ISNUMBER(SEARCH("All food commodities", 'Inventory - Public Private FMS'!$F$17:$F$1792))) &gt; 0)))</f>
        <v>0</v>
      </c>
      <c r="J33" s="247" cm="1">
        <f t="array" ref="J33">SUMPRODUCT(--(ISNUMBER(SEARCH("Slovakia", 'Inventory - Public Private FMS'!$J$17:$J$1792))
* ISNUMBER(SEARCH("Private", 'Inventory - Public Private FMS'!$L$17:$L$1792))
* ((ISNUMBER(SEARCH("Cereals", 'Inventory - Public Private FMS'!$F$17:$F$1792)))
+ (ISNUMBER(SEARCH("All food commodities", 'Inventory - Public Private FMS'!$F$17:$F$1792))) &gt; 0)))</f>
        <v>0</v>
      </c>
      <c r="K33" s="224"/>
      <c r="L33" s="247" cm="1">
        <f t="array" ref="L33">SUMPRODUCT(--(ISNUMBER(SEARCH("Slovakia", 'Inventory - Public Private FMS'!$J$17:$J$1792))
* ISNUMBER(SEARCH("Private", 'Inventory - Public Private FMS'!$L$17:$L$1792))
* ((ISNUMBER(SEARCH("Primary Production", 'Inventory - Public Private FMS'!$N$17:$N$1792)))
+ (ISNUMBER(SEARCH("All Stages", 'Inventory - Public Private FMS'!$N$17:$N$1792))) &gt; 0)))</f>
        <v>0</v>
      </c>
      <c r="M33" s="247" cm="1">
        <f t="array" ref="M33">SUMPRODUCT(--(ISNUMBER(SEARCH("Slovakia", 'Inventory - Public Private FMS'!$J$17:$J$1792))
* ISNUMBER(SEARCH("Private", 'Inventory - Public Private FMS'!$L$17:$L$1792))
* ((ISNUMBER(SEARCH("Processing &amp; Manufacturing", 'Inventory - Public Private FMS'!$N$17:$N$1792)))
+ (ISNUMBER(SEARCH("All Stages", 'Inventory - Public Private FMS'!$N$17:$N$1792))) &gt; 0)))</f>
        <v>0</v>
      </c>
      <c r="N33" s="247" cm="1">
        <f t="array" ref="N33">SUMPRODUCT(--(ISNUMBER(SEARCH("Slovakia", 'Inventory - Public Private FMS'!$J$17:$J$1792))
* ISNUMBER(SEARCH("Private", 'Inventory - Public Private FMS'!$L$17:$L$1792))
* ((ISNUMBER(SEARCH("Retail", 'Inventory - Public Private FMS'!$N$17:$N$1792)))
+ (ISNUMBER(SEARCH("All Stages", 'Inventory - Public Private FMS'!$N$17:$N$1792))) &gt; 0)))</f>
        <v>0</v>
      </c>
      <c r="O33" s="247" cm="1">
        <f t="array" ref="O33">SUMPRODUCT(--(ISNUMBER(SEARCH("Slovakia", 'Inventory - Public Private FMS'!$J$17:$J$1792))
* ISNUMBER(SEARCH("Private", 'Inventory - Public Private FMS'!$L$17:$L$1792))
* ((ISNUMBER(SEARCH("Food services", 'Inventory - Public Private FMS'!$N$17:$N$1792)))
+ (ISNUMBER(SEARCH("All Stages", 'Inventory - Public Private FMS'!$N$17:$N$1792))) &gt; 0)))</f>
        <v>0</v>
      </c>
      <c r="P33" s="224"/>
      <c r="Q33" s="246" cm="1">
        <f t="array" ref="Q33">SUMPRODUCT(--(ISNUMBER(SEARCH("Slovakia",'Inventory - Public Private FMS'!$J$17:$J$1792))
*(ISNUMBER(SEARCH("Private",'Inventory - Public Private FMS'!$L$17:$L$1792)))&gt;0))</f>
        <v>0</v>
      </c>
    </row>
    <row r="34" spans="2:17" hidden="1">
      <c r="B34" s="240" t="s">
        <v>3063</v>
      </c>
      <c r="C34" s="246" cm="1">
        <f t="array" ref="C34">SUMPRODUCT(--(ISNUMBER(SEARCH("Slovenia",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34" s="247" cm="1">
        <f t="array" ref="D34">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4" s="247" cm="1">
        <f t="array" ref="E34">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34" s="247" cm="1">
        <f t="array" ref="F34">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34" s="247" cm="1">
        <f t="array" ref="G34">SUMPRODUCT(--(ISNUMBER(SEARCH("Slovenia",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34" s="247" cm="1">
        <f t="array" ref="H34">SUMPRODUCT(--(ISNUMBER(SEARCH("Slovenia", 'Inventory - Public Private FMS'!$J$17:$J$1792))
* ISNUMBER(SEARCH("Private", 'Inventory - Public Private FMS'!$L$17:$L$1792))
* ((ISNUMBER(SEARCH("Eggs", 'Inventory - Public Private FMS'!$F$17:$F$1792)))
+ (ISNUMBER(SEARCH("All food commodities", 'Inventory - Public Private FMS'!$F$17:$F$1792))) &gt; 0)))</f>
        <v>0</v>
      </c>
      <c r="I34" s="247" cm="1">
        <f t="array" ref="I34">SUMPRODUCT(--(ISNUMBER(SEARCH("Slovenia", 'Inventory - Public Private FMS'!$J$17:$J$1792))
* ISNUMBER(SEARCH("Private", 'Inventory - Public Private FMS'!$L$17:$L$1792))
* ((ISNUMBER(SEARCH("Fish", 'Inventory - Public Private FMS'!$F$17:$F$1792)))
+ (ISNUMBER(SEARCH("All food commodities", 'Inventory - Public Private FMS'!$F$17:$F$1792))) &gt; 0)))</f>
        <v>0</v>
      </c>
      <c r="J34" s="247" cm="1">
        <f t="array" ref="J34">SUMPRODUCT(--(ISNUMBER(SEARCH("Slovenia", 'Inventory - Public Private FMS'!$J$17:$J$1792))
* ISNUMBER(SEARCH("Private", 'Inventory - Public Private FMS'!$L$17:$L$1792))
* ((ISNUMBER(SEARCH("Cereals", 'Inventory - Public Private FMS'!$F$17:$F$1792)))
+ (ISNUMBER(SEARCH("All food commodities", 'Inventory - Public Private FMS'!$F$17:$F$1792))) &gt; 0)))</f>
        <v>0</v>
      </c>
      <c r="K34" s="224"/>
      <c r="L34" s="247" cm="1">
        <f t="array" ref="L34">SUMPRODUCT(--(ISNUMBER(SEARCH("Slovenia", 'Inventory - Public Private FMS'!$J$17:$J$1792))
* ISNUMBER(SEARCH("Private", 'Inventory - Public Private FMS'!$L$17:$L$1792))
* ((ISNUMBER(SEARCH("Primary Production", 'Inventory - Public Private FMS'!$N$17:$N$1792)))
+ (ISNUMBER(SEARCH("All Stages", 'Inventory - Public Private FMS'!$N$17:$N$1792))) &gt; 0)))</f>
        <v>0</v>
      </c>
      <c r="M34" s="247" cm="1">
        <f t="array" ref="M34">SUMPRODUCT(--(ISNUMBER(SEARCH("Slovenia", 'Inventory - Public Private FMS'!$J$17:$J$1792))
* ISNUMBER(SEARCH("Private", 'Inventory - Public Private FMS'!$L$17:$L$1792))
* ((ISNUMBER(SEARCH("Processing &amp; Manufacturing", 'Inventory - Public Private FMS'!$N$17:$N$1792)))
+ (ISNUMBER(SEARCH("All Stages", 'Inventory - Public Private FMS'!$N$17:$N$1792))) &gt; 0)))</f>
        <v>0</v>
      </c>
      <c r="N34" s="247" cm="1">
        <f t="array" ref="N34">SUMPRODUCT(--(ISNUMBER(SEARCH("Slovenia", 'Inventory - Public Private FMS'!$J$17:$J$1792))
* ISNUMBER(SEARCH("Private", 'Inventory - Public Private FMS'!$L$17:$L$1792))
* ((ISNUMBER(SEARCH("Retail", 'Inventory - Public Private FMS'!$N$17:$N$1792)))
+ (ISNUMBER(SEARCH("All Stages", 'Inventory - Public Private FMS'!$N$17:$N$1792))) &gt; 0)))</f>
        <v>0</v>
      </c>
      <c r="O34" s="247" cm="1">
        <f t="array" ref="O34">SUMPRODUCT(--(ISNUMBER(SEARCH("Slovenia", 'Inventory - Public Private FMS'!$J$17:$J$1792))
* ISNUMBER(SEARCH("Private", 'Inventory - Public Private FMS'!$L$17:$L$1792))
* ((ISNUMBER(SEARCH("Food services", 'Inventory - Public Private FMS'!$N$17:$N$1792)))
+ (ISNUMBER(SEARCH("All Stages", 'Inventory - Public Private FMS'!$N$17:$N$1792))) &gt; 0)))</f>
        <v>0</v>
      </c>
      <c r="P34" s="224"/>
      <c r="Q34" s="246" cm="1">
        <f t="array" ref="Q34">SUMPRODUCT(--(ISNUMBER(SEARCH("Slovenia",'Inventory - Public Private FMS'!$J$17:$J$1792))
*(ISNUMBER(SEARCH("Private",'Inventory - Public Private FMS'!$L$17:$L$1792)))&gt;0))</f>
        <v>0</v>
      </c>
    </row>
    <row r="35" spans="2:17" hidden="1">
      <c r="B35" s="240" t="s">
        <v>3411</v>
      </c>
      <c r="C35" s="246" cm="1">
        <f t="array" ref="C35">SUMPRODUCT(--(ISNUMBER(SEARCH("Spain",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35" s="247" cm="1">
        <f t="array" ref="D35">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5" s="247" cm="1">
        <f t="array" ref="E35">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35" s="247" cm="1">
        <f t="array" ref="F35">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35" s="247" cm="1">
        <f t="array" ref="G35">SUMPRODUCT(--(ISNUMBER(SEARCH("Spain",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35" s="247" cm="1">
        <f t="array" ref="H35">SUMPRODUCT(--(ISNUMBER(SEARCH("Spain", 'Inventory - Public Private FMS'!$J$17:$J$1792))
* ISNUMBER(SEARCH("Private", 'Inventory - Public Private FMS'!$L$17:$L$1792))
* ((ISNUMBER(SEARCH("Eggs", 'Inventory - Public Private FMS'!$F$17:$F$1792)))
+ (ISNUMBER(SEARCH("All food commodities", 'Inventory - Public Private FMS'!$F$17:$F$1792))) &gt; 0)))</f>
        <v>0</v>
      </c>
      <c r="I35" s="247" cm="1">
        <f t="array" ref="I35">SUMPRODUCT(--(ISNUMBER(SEARCH("Spain", 'Inventory - Public Private FMS'!$J$17:$J$1792))
* ISNUMBER(SEARCH("Private", 'Inventory - Public Private FMS'!$L$17:$L$1792))
* ((ISNUMBER(SEARCH("Fish", 'Inventory - Public Private FMS'!$F$17:$F$1792)))
+ (ISNUMBER(SEARCH("All food commodities", 'Inventory - Public Private FMS'!$F$17:$F$1792))) &gt; 0)))</f>
        <v>0</v>
      </c>
      <c r="J35" s="247" cm="1">
        <f t="array" ref="J35">SUMPRODUCT(--(ISNUMBER(SEARCH("Spain", 'Inventory - Public Private FMS'!$J$17:$J$1792))
* ISNUMBER(SEARCH("Private", 'Inventory - Public Private FMS'!$L$17:$L$1792))
* ((ISNUMBER(SEARCH("Cereals", 'Inventory - Public Private FMS'!$F$17:$F$1792)))
+ (ISNUMBER(SEARCH("All food commodities", 'Inventory - Public Private FMS'!$F$17:$F$1792))) &gt; 0)))</f>
        <v>0</v>
      </c>
      <c r="K35" s="224"/>
      <c r="L35" s="247" cm="1">
        <f t="array" ref="L35">SUMPRODUCT(--(ISNUMBER(SEARCH("Spain", 'Inventory - Public Private FMS'!$J$17:$J$1792))
* ISNUMBER(SEARCH("Private", 'Inventory - Public Private FMS'!$L$17:$L$1792))
* ((ISNUMBER(SEARCH("Primary Production", 'Inventory - Public Private FMS'!$N$17:$N$1792)))
+ (ISNUMBER(SEARCH("All Stages", 'Inventory - Public Private FMS'!$N$17:$N$1792))) &gt; 0)))</f>
        <v>0</v>
      </c>
      <c r="M35" s="247" cm="1">
        <f t="array" ref="M35">SUMPRODUCT(--(ISNUMBER(SEARCH("Spain", 'Inventory - Public Private FMS'!$J$17:$J$1792))
* ISNUMBER(SEARCH("Private", 'Inventory - Public Private FMS'!$L$17:$L$1792))
* ((ISNUMBER(SEARCH("Processing &amp; Manufacturing", 'Inventory - Public Private FMS'!$N$17:$N$1792)))
+ (ISNUMBER(SEARCH("All Stages", 'Inventory - Public Private FMS'!$N$17:$N$1792))) &gt; 0)))</f>
        <v>0</v>
      </c>
      <c r="N35" s="247" cm="1">
        <f t="array" ref="N35">SUMPRODUCT(--(ISNUMBER(SEARCH("Spain", 'Inventory - Public Private FMS'!$J$17:$J$1792))
* ISNUMBER(SEARCH("Private", 'Inventory - Public Private FMS'!$L$17:$L$1792))
* ((ISNUMBER(SEARCH("Retail", 'Inventory - Public Private FMS'!$N$17:$N$1792)))
+ (ISNUMBER(SEARCH("All Stages", 'Inventory - Public Private FMS'!$N$17:$N$1792))) &gt; 0)))</f>
        <v>0</v>
      </c>
      <c r="O35" s="247" cm="1">
        <f t="array" ref="O35">SUMPRODUCT(--(ISNUMBER(SEARCH("Spain", 'Inventory - Public Private FMS'!$J$17:$J$1792))
* ISNUMBER(SEARCH("Private", 'Inventory - Public Private FMS'!$L$17:$L$1792))
* ((ISNUMBER(SEARCH("Food services", 'Inventory - Public Private FMS'!$N$17:$N$1792)))
+ (ISNUMBER(SEARCH("All Stages", 'Inventory - Public Private FMS'!$N$17:$N$1792))) &gt; 0)))</f>
        <v>0</v>
      </c>
      <c r="P35" s="224"/>
      <c r="Q35" s="246" cm="1">
        <f t="array" ref="Q35">SUMPRODUCT(--(ISNUMBER(SEARCH("Spain",'Inventory - Public Private FMS'!$J$17:$J$1792))
*(ISNUMBER(SEARCH("Private",'Inventory - Public Private FMS'!$L$17:$L$1792)))&gt;0))</f>
        <v>0</v>
      </c>
    </row>
    <row r="36" spans="2:17" hidden="1">
      <c r="B36" s="240" t="s">
        <v>3443</v>
      </c>
      <c r="C36" s="286" cm="1">
        <f t="array" ref="C36">SUMPRODUCT(--(ISNUMBER(SEARCH("Sweden", 'Inventory - Public Private FMS'!$J$17:$J$1792))
* ISNUMBER(SEARCH("Private", 'Inventory - Public Private FMS'!$L$17:$L$1792))
* ((ISNUMBER(SEARCH("Fruits", 'Inventory - Public Private FMS'!$F$17:$F$1792))
+ ISNUMBER(SEARCH("Vegetables", 'Inventory - Public Private FMS'!$F$17:$F$1792))
+ ISNUMBER(SEARCH("All food commodities", 'Inventory - Public Private FMS'!$F$17:$F$1792))) &gt; 0)))</f>
        <v>0</v>
      </c>
      <c r="D36" s="287" cm="1">
        <f t="array" ref="D36">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&gt; 0)))</f>
        <v>0</v>
      </c>
      <c r="E36" s="287" cm="1">
        <f t="array" ref="E36">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(ISNUMBER(SEARCH("Pork", 'Inventory - Public Private FMS'!$F$17:$F$1792))) &gt; 0)))</f>
        <v>0</v>
      </c>
      <c r="F36" s="287" cm="1">
        <f t="array" ref="F36">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(ISNUMBER(SEARCH("Poultry", 'Inventory - Public Private FMS'!$F$17:$F$1792))) &gt; 0)))</f>
        <v>0</v>
      </c>
      <c r="G36" s="287" cm="1">
        <f t="array" ref="G36">SUMPRODUCT(--(ISNUMBER(SEARCH("Sweden", 'Inventory - Public Private FMS'!$J$17:$J$1792))
* ISNUMBER(SEARCH("Private", 'Inventory - Public Private FMS'!$L$17:$L$1792))
*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0</v>
      </c>
      <c r="H36" s="287" cm="1">
        <f t="array" ref="H36">SUMPRODUCT(--(ISNUMBER(SEARCH("Sweden", 'Inventory - Public Private FMS'!$J$17:$J$1792))
* ISNUMBER(SEARCH("Private", 'Inventory - Public Private FMS'!$L$17:$L$1792))
* ((ISNUMBER(SEARCH("Eggs", 'Inventory - Public Private FMS'!$F$17:$F$1792)))
+ (ISNUMBER(SEARCH("All food commodities", 'Inventory - Public Private FMS'!$F$17:$F$1792))) &gt; 0)))</f>
        <v>0</v>
      </c>
      <c r="I36" s="287" cm="1">
        <f t="array" ref="I36">SUMPRODUCT(--(ISNUMBER(SEARCH("Sweden", 'Inventory - Public Private FMS'!$J$17:$J$1792))
* ISNUMBER(SEARCH("Private", 'Inventory - Public Private FMS'!$L$17:$L$1792))
* ((ISNUMBER(SEARCH("Fish", 'Inventory - Public Private FMS'!$F$17:$F$1792)))
+ (ISNUMBER(SEARCH("All food commodities", 'Inventory - Public Private FMS'!$F$17:$F$1792))) &gt; 0)))</f>
        <v>0</v>
      </c>
      <c r="J36" s="287" cm="1">
        <f t="array" ref="J36">SUMPRODUCT(--(ISNUMBER(SEARCH("Sweden", 'Inventory - Public Private FMS'!$J$17:$J$1792))
* ISNUMBER(SEARCH("Private", 'Inventory - Public Private FMS'!$L$17:$L$1792))
* ((ISNUMBER(SEARCH("Cereals", 'Inventory - Public Private FMS'!$F$17:$F$1792)))
+ (ISNUMBER(SEARCH("All food commodities", 'Inventory - Public Private FMS'!$F$17:$F$1792))) &gt; 0)))</f>
        <v>0</v>
      </c>
      <c r="K36" s="224"/>
      <c r="L36" s="287" cm="1">
        <f t="array" ref="L36">SUMPRODUCT(--(ISNUMBER(SEARCH("Sweden", 'Inventory - Public Private FMS'!$J$17:$J$1792))
* ISNUMBER(SEARCH("Private", 'Inventory - Public Private FMS'!$L$17:$L$1792))
* ((ISNUMBER(SEARCH("Primary Production", 'Inventory - Public Private FMS'!$N$17:$N$1792)))
+ (ISNUMBER(SEARCH("All Stages", 'Inventory - Public Private FMS'!$N$17:$N$1792))) &gt; 0)))</f>
        <v>0</v>
      </c>
      <c r="M36" s="287" cm="1">
        <f t="array" ref="M36">SUMPRODUCT(--(ISNUMBER(SEARCH("Sweden", 'Inventory - Public Private FMS'!$J$17:$J$1792))
* ISNUMBER(SEARCH("Private", 'Inventory - Public Private FMS'!$L$17:$L$1792))
* ((ISNUMBER(SEARCH("Processing &amp; Manufacturing", 'Inventory - Public Private FMS'!$N$17:$N$1792)))
+ (ISNUMBER(SEARCH("All Stages", 'Inventory - Public Private FMS'!$N$17:$N$1792))) &gt; 0)))</f>
        <v>0</v>
      </c>
      <c r="N36" s="287" cm="1">
        <f t="array" ref="N36">SUMPRODUCT(--(ISNUMBER(SEARCH("Sweden", 'Inventory - Public Private FMS'!$J$17:$J$1792))
* ISNUMBER(SEARCH("Private", 'Inventory - Public Private FMS'!$L$17:$L$1792))
* ((ISNUMBER(SEARCH("Retail", 'Inventory - Public Private FMS'!$N$17:$N$1792)))
+ (ISNUMBER(SEARCH("All Stages", 'Inventory - Public Private FMS'!$N$17:$N$1792))) &gt; 0)))</f>
        <v>0</v>
      </c>
      <c r="O36" s="287" cm="1">
        <f t="array" ref="O36">SUMPRODUCT(--(ISNUMBER(SEARCH("Sweden", 'Inventory - Public Private FMS'!$J$17:$J$1792))
* ISNUMBER(SEARCH("Private", 'Inventory - Public Private FMS'!$L$17:$L$1792))
* ((ISNUMBER(SEARCH("Food services", 'Inventory - Public Private FMS'!$N$17:$N$1792)))
+ (ISNUMBER(SEARCH("All Stages", 'Inventory - Public Private FMS'!$N$17:$N$1792))) &gt; 0)))</f>
        <v>0</v>
      </c>
      <c r="P36" s="224"/>
      <c r="Q36" s="286" cm="1">
        <f t="array" ref="Q36">SUMPRODUCT(--(ISNUMBER(SEARCH("Sweden",'Inventory - Public Private FMS'!$J$17:$J$1792))
*(ISNUMBER(SEARCH("Private",'Inventory - Public Private FMS'!$L$17:$L$1792)))&gt;0))</f>
        <v>0</v>
      </c>
    </row>
    <row r="37" spans="2:17" s="220" customFormat="1" ht="15.6" customHeight="1">
      <c r="B37" s="289" t="s">
        <v>73</v>
      </c>
      <c r="C37" s="288" cm="1">
        <f t="array" ref="C37">SUMPRODUCT(
    --((ISNUMBER(SEARCH("International", 'Inventory - Public Private FMS'!$J$17:$J$1792)) +
        ISNUMBER(SEARCH("EU", 'Inventory - Public Private FMS'!$J$17:$J$1792))) &gt; 0),
    --(ISNUMBER(SEARCH("Private", 'Inventory - Public Private FMS'!$L$17:$L$1792))),
    --((ISNUMBER(SEARCH("Fruits", 'Inventory - Public Private FMS'!$F$17:$F$1792)) +
        ISNUMBER(SEARCH("Vegetables", 'Inventory - Public Private FMS'!$F$17:$F$1792)) +
        ISNUMBER(SEARCH("All food commodities", 'Inventory - Public Private FMS'!$F$17:$F$1792))) &gt; 0)
)</f>
        <v>22</v>
      </c>
      <c r="D37" s="288" cm="1">
        <f t="array" ref="D37">SUMPRODUCT(
--((ISNUMBER(SEARCH("International",'Inventory - Public Private FMS'!$J$17:$J$1792))+
ISNUMBER(SEARCH("EU",'Inventory - Public Private FMS'!$J$17:$J$1792)))&gt;0),
--(ISNUMBER(SEARCH("Private",'Inventory - Public Private FMS'!$L$17:$L$1792))),
--((ISNUMBER(SEARCH("Meat",'Inventory - Public Private FMS'!$F$17:$F$1792)))
+(ISNUMBER(SEARCH("All food commodities",'Inventory - Public Private FMS'!$F$17:$F$1792)))
+(ISNUMBER(SEARCH("livestock",'Inventory - Public Private FMS'!$F$17:$F$1792)))
+(ISNUMBER(SEARCH("Bovine",'Inventory - Public Private FMS'!$F$17:$F$1792)))&gt;0))</f>
        <v>15</v>
      </c>
      <c r="E37" s="288" cm="1">
        <f t="array" ref="E37">SUMPRODUCT(
--((ISNUMBER(SEARCH("International",'Inventory - Public Private FMS'!$J$17:$J$1792))+
ISNUMBER(SEARCH("EU",'Inventory - Public Private FMS'!$J$17:$J$1792)))&gt;0),
--(ISNUMBER(SEARCH("Private",'Inventory - Public Private FMS'!$L$17:$L$1792))),
--((ISNUMBER(SEARCH("Meat",'Inventory - Public Private FMS'!$F$17:$F$1792)))
+(ISNUMBER(SEARCH("All food commodities",'Inventory - Public Private FMS'!$F$17:$F$1792)))
+(ISNUMBER(SEARCH("livestock",'Inventory - Public Private FMS'!$F$17:$F$1792)))
+(ISNUMBER(SEARCH("Pork",'Inventory - Public Private FMS'!$F$17:$F$1792)))&gt;0))</f>
        <v>15</v>
      </c>
      <c r="F37" s="288" cm="1">
        <f t="array" ref="F37">SUMPRODUCT(
--((ISNUMBER(SEARCH("International",'Inventory - Public Private FMS'!$J$17:$J$1792))+
ISNUMBER(SEARCH("EU",'Inventory - Public Private FMS'!$J$17:$J$1792)))&gt;0),
--(ISNUMBER(SEARCH("Private",'Inventory - Public Private FMS'!$L$17:$L$1792))),
--((ISNUMBER(SEARCH("Meat",'Inventory - Public Private FMS'!$F$17:$F$1792)))
+(ISNUMBER(SEARCH("All food commodities",'Inventory - Public Private FMS'!$F$17:$F$1792)))
+(ISNUMBER(SEARCH("livestock",'Inventory - Public Private FMS'!$F$17:$F$1792)))
+(ISNUMBER(SEARCH("Poultry",'Inventory - Public Private FMS'!$F$17:$F$1792)))&gt;0))</f>
        <v>14</v>
      </c>
      <c r="G37" s="288" cm="1">
        <f t="array" ref="G37">SUMPRODUCT(
--((ISNUMBER(SEARCH("International",'Inventory - Public Private FMS'!$J$17:$J$1792))+
ISNUMBER(SEARCH("EU",'Inventory - Public Private FMS'!$J$17:$J$1792)))&gt;0),
--(ISNUMBER(SEARCH("Private",'Inventory - Public Private FMS'!$L$17:$L$1792))),
--((ISNUMBER(SEARCH("Meat", 'Inventory - Public Private FMS'!$F$17:$F$1792)))
+ (ISNUMBER(SEARCH("All food commodities", 'Inventory - Public Private FMS'!$F$17:$F$1792)))
+ (ISNUMBER(SEARCH("livestock", 'Inventory - Public Private FMS'!$F$17:$F$1792)))
+ (ISNUMBER(SEARCH("Bovine", 'Inventory - Public Private FMS'!$F$17:$F$1792)))
+ (ISNUMBER(SEARCH("Pork", 'Inventory - Public Private FMS'!$F$17:$F$1792)))
+ (ISNUMBER(SEARCH("Poultry", 'Inventory - Public Private FMS'!$F$17:$F$1792))) &gt; 0))</f>
        <v>15</v>
      </c>
      <c r="H37" s="288" cm="1">
        <f t="array" ref="H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I37" s="288" cm="1">
        <f t="array" ref="I37">SUMPRODUCT(
    --((ISNUMBER(SEARCH("International", 'Inventory - Public Private FMS'!$J$17:$J$1792)) +
        ISNUMBER(SEARCH("EU", 'Inventory - Public Private FMS'!$J$17:$J$1792))) &gt; 0),
    --(ISNUMBER(SEARCH("Private", 'Inventory - Public Private FMS'!$L$17:$L$1792))),
    --((ISNUMBER(SEARCH("Fish", 'Inventory - Public Private FMS'!$F$17:$F$1792)) +
        ISNUMBER(SEARCH("All food commodities", 'Inventory - Public Private FMS'!$F$17:$F$1792))) &gt; 0)
)</f>
        <v>25</v>
      </c>
      <c r="J37" s="288" cm="1">
        <f t="array" ref="J37">SUMPRODUCT(
    --((ISNUMBER(SEARCH("International", 'Inventory - Public Private FMS'!$J$17:$J$1792)) +
        ISNUMBER(SEARCH("EU", 'Inventory - Public Private FMS'!$J$17:$J$1792))) &gt; 0),
    --(ISNUMBER(SEARCH("Private", 'Inventory - Public Private FMS'!$L$17:$L$1792))),
    --((ISNUMBER(SEARCH("Cereals", 'Inventory - Public Private FMS'!$F$17:$F$1792)) +
        ISNUMBER(SEARCH("All food commodities", 'Inventory - Public Private FMS'!$F$17:$F$1792))) &gt; 0)
)</f>
        <v>17</v>
      </c>
      <c r="K37" s="288" cm="1">
        <f t="array" ref="K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L37" s="288" cm="1">
        <f t="array" ref="L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M37" s="288" cm="1">
        <f t="array" ref="M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N37" s="288" cm="1">
        <f t="array" ref="N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O37" s="288" cm="1">
        <f t="array" ref="O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P37" s="288" cm="1">
        <f t="array" ref="P37">SUMPRODUCT(
    --((ISNUMBER(SEARCH("International", 'Inventory - Public Private FMS'!$J$17:$J$1792)) +
        ISNUMBER(SEARCH("EU", 'Inventory - Public Private FMS'!$J$17:$J$1792))) &gt; 0),
    --(ISNUMBER(SEARCH("Private", 'Inventory - Public Private FMS'!$L$17:$L$1792))),
    --((ISNUMBER(SEARCH("Eggs", 'Inventory - Public Private FMS'!$F$17:$F$1792)) +
        ISNUMBER(SEARCH("All food commodities", 'Inventory - Public Private FMS'!$F$17:$F$1792))) &gt; 0)
)</f>
        <v>15</v>
      </c>
      <c r="Q37" s="288" cm="1">
        <f t="array" ref="Q37">SUMPRODUCT(
    --((ISNUMBER(SEARCH("International", 'Inventory - Public Private FMS'!$J$17:$J$1792)) +
        ISNUMBER(SEARCH("EU", 'Inventory - Public Private FMS'!$J$17:$J$1792))) &gt; 0),
    --(ISNUMBER(SEARCH("Private", 'Inventory - Public Private FMS'!$L$17:$L$1792)))
)</f>
        <v>37</v>
      </c>
    </row>
    <row r="40" spans="2:17">
      <c r="B40" s="290"/>
      <c r="C40" s="291"/>
      <c r="D40" s="260"/>
      <c r="E40" s="260"/>
      <c r="F40" s="260"/>
      <c r="G40" s="260"/>
      <c r="H40" s="260"/>
      <c r="I40" s="260"/>
      <c r="J40" s="260"/>
      <c r="K40" s="260"/>
      <c r="L40" s="260"/>
      <c r="M40" s="260"/>
      <c r="N40" s="260"/>
      <c r="O40" s="260"/>
      <c r="P40" s="260"/>
      <c r="Q40" s="260"/>
    </row>
    <row r="41" spans="2:17">
      <c r="B41" s="290"/>
      <c r="C41" s="290"/>
      <c r="D41" s="260"/>
      <c r="E41" s="260"/>
      <c r="F41" s="260"/>
      <c r="G41" s="260"/>
      <c r="H41" s="260"/>
      <c r="I41" s="260"/>
      <c r="J41" s="260"/>
      <c r="K41" s="260"/>
      <c r="L41" s="260"/>
      <c r="M41" s="260"/>
      <c r="N41" s="260"/>
      <c r="O41" s="260"/>
      <c r="P41" s="260"/>
      <c r="Q41" s="260"/>
    </row>
    <row r="42" spans="2:17">
      <c r="B42" s="290"/>
      <c r="C42" s="290"/>
    </row>
    <row r="43" spans="2:17">
      <c r="B43" s="290"/>
      <c r="C43" s="290"/>
    </row>
    <row r="44" spans="2:17">
      <c r="B44" s="290"/>
      <c r="C44" s="290"/>
    </row>
    <row r="45" spans="2:17">
      <c r="B45" s="290"/>
      <c r="C45" s="290"/>
    </row>
    <row r="46" spans="2:17">
      <c r="B46" s="290"/>
      <c r="C46" s="290"/>
    </row>
    <row r="47" spans="2:17">
      <c r="B47" s="290"/>
      <c r="C47" s="290"/>
    </row>
    <row r="48" spans="2:17">
      <c r="B48" s="290"/>
      <c r="C48" s="292"/>
    </row>
    <row r="49" spans="2:3">
      <c r="B49" s="290"/>
      <c r="C49" s="290"/>
    </row>
    <row r="50" spans="2:3">
      <c r="B50" s="290"/>
      <c r="C50" s="290"/>
    </row>
    <row r="51" spans="2:3">
      <c r="B51" s="290"/>
      <c r="C51" s="290"/>
    </row>
  </sheetData>
  <autoFilter ref="B9:Q37" xr:uid="{51BBAE01-16E9-461E-88B1-C4072F29499B}">
    <filterColumn colId="15">
      <filters>
        <filter val="1"/>
        <filter val="18"/>
        <filter val="29"/>
        <filter val="34"/>
        <filter val="37"/>
        <filter val="5"/>
        <filter val="6"/>
        <filter val="8"/>
        <filter val="9"/>
      </filters>
    </filterColumn>
  </autoFilter>
  <mergeCells count="25">
    <mergeCell ref="N3:N4"/>
    <mergeCell ref="O3:O4"/>
    <mergeCell ref="Q7:Q9"/>
    <mergeCell ref="C2:J2"/>
    <mergeCell ref="L2:O2"/>
    <mergeCell ref="Q2:Q4"/>
    <mergeCell ref="C3:C4"/>
    <mergeCell ref="D3:G3"/>
    <mergeCell ref="H3:H4"/>
    <mergeCell ref="I3:I4"/>
    <mergeCell ref="J3:J4"/>
    <mergeCell ref="L3:L4"/>
    <mergeCell ref="M3:M4"/>
    <mergeCell ref="L7:O7"/>
    <mergeCell ref="C8:C9"/>
    <mergeCell ref="O8:O9"/>
    <mergeCell ref="H8:H9"/>
    <mergeCell ref="C7:J7"/>
    <mergeCell ref="G8:G9"/>
    <mergeCell ref="D8:F8"/>
    <mergeCell ref="N8:N9"/>
    <mergeCell ref="M8:M9"/>
    <mergeCell ref="L8:L9"/>
    <mergeCell ref="J8:J9"/>
    <mergeCell ref="I8:I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FD76-485D-45CE-B6D2-FEA91C4E8EFA}">
  <dimension ref="B2:AA103"/>
  <sheetViews>
    <sheetView zoomScale="81" zoomScaleNormal="81" workbookViewId="0">
      <selection activeCell="S2" sqref="S2"/>
    </sheetView>
  </sheetViews>
  <sheetFormatPr defaultColWidth="8.875" defaultRowHeight="15.95"/>
  <cols>
    <col min="2" max="2" width="22.5" customWidth="1"/>
    <col min="11" max="11" width="27.875" customWidth="1"/>
    <col min="23" max="24" width="25.125" customWidth="1"/>
  </cols>
  <sheetData>
    <row r="2" spans="2:24">
      <c r="B2" s="253" t="s">
        <v>3916</v>
      </c>
      <c r="C2" s="243" t="e">
        <f>General!$R$14</f>
        <v>#REF!</v>
      </c>
      <c r="D2" s="260"/>
      <c r="E2" s="260"/>
      <c r="K2" s="253" t="s">
        <v>3904</v>
      </c>
      <c r="L2" s="243" t="s">
        <v>3916</v>
      </c>
      <c r="W2" s="261" t="s">
        <v>3916</v>
      </c>
      <c r="X2" s="243" t="e">
        <f>General!$R$5</f>
        <v>#REF!</v>
      </c>
    </row>
    <row r="3" spans="2:24" ht="17.45" customHeight="1">
      <c r="B3" s="262" t="s">
        <v>737</v>
      </c>
      <c r="C3" s="263" t="e">
        <f>General!$R$15</f>
        <v>#REF!</v>
      </c>
      <c r="K3" s="264" t="s">
        <v>3966</v>
      </c>
      <c r="L3" s="265" t="e">
        <f>General!$C$5</f>
        <v>#REF!</v>
      </c>
      <c r="W3" s="266" t="s">
        <v>3917</v>
      </c>
      <c r="X3" s="267" t="e">
        <f>General!$R$6</f>
        <v>#REF!</v>
      </c>
    </row>
    <row r="4" spans="2:24">
      <c r="B4" s="262" t="s">
        <v>74</v>
      </c>
      <c r="C4" s="263" t="e">
        <f>General!$R$16</f>
        <v>#REF!</v>
      </c>
      <c r="K4" s="268" t="s">
        <v>363</v>
      </c>
      <c r="L4" s="265" t="e">
        <f>General!$D$5</f>
        <v>#REF!</v>
      </c>
      <c r="W4" s="266" t="s">
        <v>3918</v>
      </c>
      <c r="X4" s="269" t="e">
        <f>General!$R$7</f>
        <v>#REF!</v>
      </c>
    </row>
    <row r="5" spans="2:24">
      <c r="K5" s="268" t="s">
        <v>370</v>
      </c>
      <c r="L5" s="265" t="e">
        <f>General!$E$5</f>
        <v>#REF!</v>
      </c>
    </row>
    <row r="6" spans="2:24">
      <c r="K6" s="268" t="s">
        <v>394</v>
      </c>
      <c r="L6" s="263" t="e">
        <f>General!$F$5</f>
        <v>#REF!</v>
      </c>
    </row>
    <row r="7" spans="2:24">
      <c r="K7" s="228" t="s">
        <v>2303</v>
      </c>
      <c r="L7" s="263" t="e">
        <f>General!$H$5</f>
        <v>#REF!</v>
      </c>
    </row>
    <row r="8" spans="2:24">
      <c r="K8" s="228" t="s">
        <v>71</v>
      </c>
      <c r="L8" s="265" t="e">
        <f>General!$I$5</f>
        <v>#REF!</v>
      </c>
    </row>
    <row r="9" spans="2:24">
      <c r="K9" s="228" t="s">
        <v>123</v>
      </c>
      <c r="L9" s="263" t="e">
        <f>General!$J$5</f>
        <v>#REF!</v>
      </c>
    </row>
    <row r="22" spans="2:27">
      <c r="B22" s="270"/>
      <c r="C22" s="243" t="s">
        <v>3916</v>
      </c>
      <c r="D22" s="263" t="s">
        <v>737</v>
      </c>
      <c r="E22" s="263" t="s">
        <v>74</v>
      </c>
    </row>
    <row r="23" spans="2:27">
      <c r="B23" s="271" t="s">
        <v>411</v>
      </c>
      <c r="C23" s="270">
        <f>'National level'!$R$45</f>
        <v>498</v>
      </c>
      <c r="D23" s="126">
        <f>'National level'!$R$46</f>
        <v>464</v>
      </c>
      <c r="E23" s="126">
        <f>'National level'!$R$47</f>
        <v>34</v>
      </c>
    </row>
    <row r="24" spans="2:27">
      <c r="B24" s="271" t="s">
        <v>659</v>
      </c>
      <c r="C24" s="270">
        <f>'National level'!$R$61</f>
        <v>150</v>
      </c>
      <c r="D24" s="126">
        <f>'National level'!$R$62</f>
        <v>141</v>
      </c>
      <c r="E24" s="126">
        <f>'National level'!$R$63</f>
        <v>9</v>
      </c>
    </row>
    <row r="25" spans="2:27">
      <c r="B25" s="271" t="s">
        <v>3411</v>
      </c>
      <c r="C25" s="270">
        <f>'National level'!$R$105</f>
        <v>90</v>
      </c>
      <c r="D25" s="126">
        <f>'National level'!$R$106</f>
        <v>90</v>
      </c>
      <c r="E25" s="126">
        <f>'National level'!$R$107</f>
        <v>0</v>
      </c>
      <c r="Y25" s="221"/>
      <c r="Z25" s="214"/>
      <c r="AA25" s="214"/>
    </row>
    <row r="26" spans="2:27">
      <c r="B26" s="271" t="s">
        <v>2827</v>
      </c>
      <c r="C26" s="270">
        <f>'National level'!$R$17</f>
        <v>66</v>
      </c>
      <c r="D26" s="126">
        <f>'National level'!$R$18</f>
        <v>66</v>
      </c>
      <c r="E26" s="126">
        <f>'National level'!$R$19</f>
        <v>0</v>
      </c>
      <c r="W26" s="261" t="s">
        <v>3916</v>
      </c>
      <c r="X26" s="243" t="e">
        <f>General!$R$33</f>
        <v>#REF!</v>
      </c>
    </row>
    <row r="27" spans="2:27">
      <c r="B27" s="271" t="s">
        <v>605</v>
      </c>
      <c r="C27" s="270">
        <f>'National level'!$R$89</f>
        <v>62</v>
      </c>
      <c r="D27" s="126">
        <f>'National level'!$R$90</f>
        <v>54</v>
      </c>
      <c r="E27" s="126">
        <f>'National level'!$R$91</f>
        <v>8</v>
      </c>
      <c r="W27" s="266" t="s">
        <v>3934</v>
      </c>
      <c r="X27" s="263" t="e">
        <f>General!$R$34</f>
        <v>#REF!</v>
      </c>
    </row>
    <row r="28" spans="2:27">
      <c r="B28" s="271" t="s">
        <v>306</v>
      </c>
      <c r="C28" s="270">
        <f>'National level'!$R$9</f>
        <v>56</v>
      </c>
      <c r="D28" s="126">
        <f>'National level'!$R$10</f>
        <v>38</v>
      </c>
      <c r="E28" s="126">
        <f>'National level'!$R$11</f>
        <v>18</v>
      </c>
      <c r="W28" s="266" t="s">
        <v>3936</v>
      </c>
      <c r="X28" s="263" t="e">
        <f>General!$R$35</f>
        <v>#REF!</v>
      </c>
    </row>
    <row r="29" spans="2:27">
      <c r="B29" s="271" t="s">
        <v>3282</v>
      </c>
      <c r="C29" s="270">
        <f>'National level'!$R$49</f>
        <v>40</v>
      </c>
      <c r="D29" s="126">
        <f>'National level'!$R$50</f>
        <v>40</v>
      </c>
      <c r="E29" s="126">
        <f>'National level'!$R$51</f>
        <v>0</v>
      </c>
    </row>
    <row r="30" spans="2:27">
      <c r="B30" s="271" t="s">
        <v>365</v>
      </c>
      <c r="C30" s="270">
        <f>'National level'!$R$13</f>
        <v>35</v>
      </c>
      <c r="D30" s="126">
        <f>'National level'!$R$14</f>
        <v>6</v>
      </c>
      <c r="E30" s="126">
        <f>'National level'!$R$15</f>
        <v>29</v>
      </c>
    </row>
    <row r="31" spans="2:27">
      <c r="B31" s="271" t="s">
        <v>3117</v>
      </c>
      <c r="C31" s="270">
        <f>'National level'!$R$21</f>
        <v>21</v>
      </c>
      <c r="D31" s="126">
        <f>'National level'!$R$22</f>
        <v>21</v>
      </c>
      <c r="E31" s="126">
        <f>'National level'!$R$23</f>
        <v>0</v>
      </c>
    </row>
    <row r="32" spans="2:27">
      <c r="B32" s="271" t="s">
        <v>3063</v>
      </c>
      <c r="C32" s="270">
        <f>'National level'!$R$101</f>
        <v>20</v>
      </c>
      <c r="D32" s="126">
        <f>'National level'!$R$102</f>
        <v>20</v>
      </c>
      <c r="E32" s="126">
        <f>'National level'!$R$103</f>
        <v>0</v>
      </c>
    </row>
    <row r="33" spans="2:5">
      <c r="B33" s="271" t="s">
        <v>3316</v>
      </c>
      <c r="C33" s="270">
        <f>'National level'!$R$53</f>
        <v>18</v>
      </c>
      <c r="D33" s="126">
        <f>'National level'!$R$54</f>
        <v>18</v>
      </c>
      <c r="E33" s="126">
        <f>'National level'!$R$55</f>
        <v>0</v>
      </c>
    </row>
    <row r="34" spans="2:5">
      <c r="B34" s="271" t="s">
        <v>694</v>
      </c>
      <c r="C34" s="270">
        <f>'National level'!$R$85</f>
        <v>18</v>
      </c>
      <c r="D34" s="126">
        <f>'National level'!$R$86</f>
        <v>13</v>
      </c>
      <c r="E34" s="126">
        <f>'National level'!$R$87</f>
        <v>5</v>
      </c>
    </row>
    <row r="35" spans="2:5">
      <c r="B35" s="271" t="s">
        <v>587</v>
      </c>
      <c r="C35" s="270">
        <f>'National level'!$R$81</f>
        <v>12</v>
      </c>
      <c r="D35" s="126">
        <f>'National level'!$R$82</f>
        <v>6</v>
      </c>
      <c r="E35" s="126">
        <f>'National level'!$R$83</f>
        <v>6</v>
      </c>
    </row>
    <row r="36" spans="2:5">
      <c r="B36" s="271" t="s">
        <v>299</v>
      </c>
      <c r="C36" s="270">
        <f>'National level'!$R$5</f>
        <v>9</v>
      </c>
      <c r="D36" s="126">
        <f>'National level'!$R$6</f>
        <v>8</v>
      </c>
      <c r="E36" s="126">
        <f>'National level'!$R$7</f>
        <v>1</v>
      </c>
    </row>
    <row r="37" spans="2:5">
      <c r="B37" s="271" t="s">
        <v>3443</v>
      </c>
      <c r="C37" s="270">
        <f>'National level'!$R$109</f>
        <v>7</v>
      </c>
      <c r="D37" s="126">
        <f>'National level'!$R$110</f>
        <v>7</v>
      </c>
      <c r="E37" s="126">
        <f>'National level'!$R$111</f>
        <v>0</v>
      </c>
    </row>
    <row r="38" spans="2:5">
      <c r="B38" s="271" t="s">
        <v>3230</v>
      </c>
      <c r="C38" s="270">
        <f>'National level'!$R$57</f>
        <v>6</v>
      </c>
      <c r="D38" s="126">
        <f>'National level'!$R$58</f>
        <v>6</v>
      </c>
      <c r="E38" s="126">
        <f>'National level'!$R$59</f>
        <v>0</v>
      </c>
    </row>
    <row r="39" spans="2:5">
      <c r="B39" s="271" t="s">
        <v>3273</v>
      </c>
      <c r="C39" s="270">
        <f>'National level'!$R$41</f>
        <v>5</v>
      </c>
      <c r="D39" s="126">
        <f>'National level'!$R$42</f>
        <v>5</v>
      </c>
      <c r="E39" s="126">
        <f>'National level'!$R$60</f>
        <v>6</v>
      </c>
    </row>
    <row r="40" spans="2:5">
      <c r="B40" s="271" t="s">
        <v>3205</v>
      </c>
      <c r="C40" s="270">
        <f>'National level'!$R$77</f>
        <v>5</v>
      </c>
      <c r="D40" s="126">
        <f>'National level'!$R$78</f>
        <v>5</v>
      </c>
      <c r="E40" s="126">
        <f>'National level'!$R$79</f>
        <v>0</v>
      </c>
    </row>
    <row r="41" spans="2:5">
      <c r="B41" s="271" t="s">
        <v>712</v>
      </c>
      <c r="C41" s="270">
        <f>'National level'!$R$33</f>
        <v>3</v>
      </c>
      <c r="D41" s="126">
        <f>'National level'!$R$34</f>
        <v>2</v>
      </c>
      <c r="E41" s="126">
        <f>'National level'!$R$35</f>
        <v>1</v>
      </c>
    </row>
    <row r="42" spans="2:5">
      <c r="B42" s="271" t="s">
        <v>3374</v>
      </c>
      <c r="C42" s="270">
        <f>'National level'!$R$65</f>
        <v>3</v>
      </c>
      <c r="D42" s="126">
        <f>'National level'!$R$66</f>
        <v>3</v>
      </c>
      <c r="E42" s="126">
        <f>'National level'!$R$67</f>
        <v>0</v>
      </c>
    </row>
    <row r="43" spans="2:5">
      <c r="B43" s="271" t="s">
        <v>3014</v>
      </c>
      <c r="C43" s="270">
        <f>'National level'!$R$93</f>
        <v>7</v>
      </c>
      <c r="D43" s="126">
        <f>'National level'!$R$94</f>
        <v>7</v>
      </c>
      <c r="E43" s="126">
        <f>'National level'!$R$95</f>
        <v>0</v>
      </c>
    </row>
    <row r="44" spans="2:5">
      <c r="B44" s="271" t="s">
        <v>3943</v>
      </c>
      <c r="C44" s="270">
        <f>'National level'!$R$29</f>
        <v>4</v>
      </c>
      <c r="D44" s="126">
        <f>'National level'!$R$30</f>
        <v>4</v>
      </c>
      <c r="E44" s="126">
        <f>'National level'!$R$31</f>
        <v>0</v>
      </c>
    </row>
    <row r="45" spans="2:5">
      <c r="B45" s="271" t="s">
        <v>3942</v>
      </c>
      <c r="C45" s="270">
        <f>'National level'!$R$25</f>
        <v>2</v>
      </c>
      <c r="D45" s="126">
        <f>'National level'!$R$26</f>
        <v>2</v>
      </c>
      <c r="E45" s="126">
        <f>'National level'!$R$27</f>
        <v>0</v>
      </c>
    </row>
    <row r="46" spans="2:5">
      <c r="B46" s="271" t="s">
        <v>3946</v>
      </c>
      <c r="C46" s="270">
        <f>'National level'!$R$73</f>
        <v>1</v>
      </c>
      <c r="D46" s="126">
        <f>'National level'!$R$74</f>
        <v>1</v>
      </c>
      <c r="E46" s="126">
        <f>'National level'!$R$75</f>
        <v>0</v>
      </c>
    </row>
    <row r="47" spans="2:5">
      <c r="B47" s="271" t="s">
        <v>3944</v>
      </c>
      <c r="C47" s="270">
        <f>'National level'!$R$37</f>
        <v>0</v>
      </c>
      <c r="D47" s="126">
        <f>'National level'!$R$38</f>
        <v>0</v>
      </c>
      <c r="E47" s="126">
        <f>'National level'!$R$39</f>
        <v>0</v>
      </c>
    </row>
    <row r="48" spans="2:5">
      <c r="B48" s="271" t="s">
        <v>3945</v>
      </c>
      <c r="C48" s="270">
        <f>'National level'!$R$69</f>
        <v>0</v>
      </c>
      <c r="D48" s="126">
        <f>'National level'!$R$70</f>
        <v>0</v>
      </c>
      <c r="E48" s="126">
        <f>'National level'!$R$71</f>
        <v>0</v>
      </c>
    </row>
    <row r="49" spans="2:25">
      <c r="B49" s="271" t="s">
        <v>3947</v>
      </c>
      <c r="C49" s="270">
        <f>'National level'!$R$97</f>
        <v>0</v>
      </c>
      <c r="D49" s="126">
        <f>'National level'!$R$98</f>
        <v>0</v>
      </c>
      <c r="E49" s="126">
        <f>'National level'!$R$99</f>
        <v>0</v>
      </c>
    </row>
    <row r="50" spans="2:25">
      <c r="B50" s="275"/>
    </row>
    <row r="51" spans="2:25">
      <c r="W51" s="261" t="s">
        <v>3916</v>
      </c>
      <c r="X51" s="243" t="e">
        <f>General!$R$5</f>
        <v>#REF!</v>
      </c>
    </row>
    <row r="52" spans="2:25" ht="17.100000000000001">
      <c r="W52" s="264" t="s">
        <v>103</v>
      </c>
      <c r="X52" s="265" t="e">
        <f>General!$L$5</f>
        <v>#REF!</v>
      </c>
      <c r="Y52" s="272" t="e">
        <f>X52/$X$51</f>
        <v>#REF!</v>
      </c>
    </row>
    <row r="53" spans="2:25" ht="17.100000000000001">
      <c r="W53" s="264" t="s">
        <v>3967</v>
      </c>
      <c r="X53" s="265" t="e">
        <f>General!$M$5</f>
        <v>#REF!</v>
      </c>
      <c r="Y53" s="272" t="e">
        <f t="shared" ref="Y53:Y55" si="0">X53/$X$51</f>
        <v>#REF!</v>
      </c>
    </row>
    <row r="54" spans="2:25" ht="17.100000000000001">
      <c r="B54" s="253" t="s">
        <v>3904</v>
      </c>
      <c r="C54" s="243" t="s">
        <v>3916</v>
      </c>
      <c r="W54" s="264" t="s">
        <v>3968</v>
      </c>
      <c r="X54" s="265" t="e">
        <f>General!$N$5</f>
        <v>#REF!</v>
      </c>
      <c r="Y54" s="272" t="e">
        <f>X54/$X$51</f>
        <v>#REF!</v>
      </c>
    </row>
    <row r="55" spans="2:25" ht="17.100000000000001">
      <c r="B55" s="264" t="s">
        <v>3966</v>
      </c>
      <c r="C55" s="265" t="e">
        <f>General!$C$7</f>
        <v>#REF!</v>
      </c>
      <c r="W55" s="264" t="s">
        <v>3940</v>
      </c>
      <c r="X55" s="265" t="e">
        <f>General!$O$5</f>
        <v>#REF!</v>
      </c>
      <c r="Y55" s="272" t="e">
        <f t="shared" si="0"/>
        <v>#REF!</v>
      </c>
    </row>
    <row r="56" spans="2:25">
      <c r="B56" s="228" t="s">
        <v>363</v>
      </c>
      <c r="C56" s="265" t="e">
        <f>General!$D$7</f>
        <v>#REF!</v>
      </c>
      <c r="W56" s="276"/>
      <c r="X56" s="260"/>
      <c r="Y56" s="277"/>
    </row>
    <row r="57" spans="2:25">
      <c r="B57" s="228" t="s">
        <v>370</v>
      </c>
      <c r="C57" s="265" t="e">
        <f>General!$E$7</f>
        <v>#REF!</v>
      </c>
    </row>
    <row r="58" spans="2:25">
      <c r="B58" s="228" t="s">
        <v>394</v>
      </c>
      <c r="C58" s="265" t="e">
        <f>General!$F$7</f>
        <v>#REF!</v>
      </c>
    </row>
    <row r="59" spans="2:25">
      <c r="B59" s="228" t="s">
        <v>2303</v>
      </c>
      <c r="C59" s="263" t="e">
        <f>General!$H$7</f>
        <v>#REF!</v>
      </c>
    </row>
    <row r="60" spans="2:25">
      <c r="B60" s="228" t="s">
        <v>71</v>
      </c>
      <c r="C60" s="265" t="e">
        <f>General!$I$7</f>
        <v>#REF!</v>
      </c>
    </row>
    <row r="61" spans="2:25">
      <c r="B61" s="228" t="s">
        <v>123</v>
      </c>
      <c r="C61" s="265" t="e">
        <f>General!$J$7</f>
        <v>#REF!</v>
      </c>
    </row>
    <row r="65" spans="2:10">
      <c r="B65" s="224"/>
    </row>
    <row r="66" spans="2:10">
      <c r="B66" s="224"/>
    </row>
    <row r="67" spans="2:10">
      <c r="B67" s="224"/>
    </row>
    <row r="68" spans="2:10">
      <c r="B68" s="224"/>
    </row>
    <row r="69" spans="2:10">
      <c r="B69" s="224"/>
    </row>
    <row r="70" spans="2:10">
      <c r="B70" s="217"/>
    </row>
    <row r="71" spans="2:10">
      <c r="B71" s="224"/>
    </row>
    <row r="72" spans="2:10">
      <c r="B72" s="224"/>
    </row>
    <row r="74" spans="2:10">
      <c r="I74" s="259"/>
      <c r="J74" s="259"/>
    </row>
    <row r="76" spans="2:10">
      <c r="B76" s="270"/>
      <c r="C76" s="243" t="s">
        <v>3916</v>
      </c>
      <c r="D76" s="263" t="s">
        <v>737</v>
      </c>
      <c r="E76" s="263" t="s">
        <v>74</v>
      </c>
      <c r="F76" s="293" t="s">
        <v>3932</v>
      </c>
    </row>
    <row r="77" spans="2:10">
      <c r="B77" s="271" t="s">
        <v>411</v>
      </c>
      <c r="C77" s="270">
        <f>'National level'!$R$45</f>
        <v>498</v>
      </c>
      <c r="D77" s="126">
        <f>'National level'!$R$46</f>
        <v>464</v>
      </c>
      <c r="E77" s="126">
        <f>'National level'!$R$47</f>
        <v>34</v>
      </c>
      <c r="F77">
        <f>COUNTIFS('Inventory - Public Private FMS'!$J$17:$J$1792, "*France*", 'Inventory - Public Private FMS'!$P$17:$P$1792, "*Protected Designation of Origin (PDO) / Protected Geographical Indication (PGI)*")</f>
        <v>126</v>
      </c>
      <c r="G77">
        <f>C77-328-F77</f>
        <v>44</v>
      </c>
    </row>
    <row r="78" spans="2:10">
      <c r="B78" s="271" t="s">
        <v>659</v>
      </c>
      <c r="C78" s="270">
        <f>'National level'!$R$61</f>
        <v>150</v>
      </c>
      <c r="D78" s="126">
        <f>'National level'!$R$62</f>
        <v>141</v>
      </c>
      <c r="E78" s="126">
        <f>'National level'!$R$63</f>
        <v>9</v>
      </c>
      <c r="F78">
        <f>COUNTIFS('Inventory - Public Private FMS'!$J$17:$J$1792, "*Italy*", 'Inventory - Public Private FMS'!$P$17:$P$1792, "*Protected Designation of Origin (PDO) / Protected Geographical Indication (PGI)*")</f>
        <v>130</v>
      </c>
      <c r="G78">
        <f>C78-F78</f>
        <v>20</v>
      </c>
    </row>
    <row r="79" spans="2:10">
      <c r="B79" s="271" t="s">
        <v>3411</v>
      </c>
      <c r="C79" s="270">
        <f>'National level'!$R$105</f>
        <v>90</v>
      </c>
      <c r="D79" s="126">
        <f>'National level'!$R$106</f>
        <v>90</v>
      </c>
      <c r="E79" s="126">
        <f>'National level'!$R$107</f>
        <v>0</v>
      </c>
      <c r="F79">
        <f>COUNTIFS('Inventory - Public Private FMS'!$J$17:$J$1792, "*Spain*", 'Inventory - Public Private FMS'!$P$17:$P$1792, "*Protected Designation of Origin (PDO) / Protected Geographical Indication (PGI)*")</f>
        <v>89</v>
      </c>
      <c r="G79">
        <f t="shared" ref="G79:G103" si="1">C79-F79</f>
        <v>1</v>
      </c>
    </row>
    <row r="80" spans="2:10">
      <c r="B80" s="271" t="s">
        <v>2827</v>
      </c>
      <c r="C80" s="270">
        <f>'National level'!$R$17</f>
        <v>66</v>
      </c>
      <c r="D80" s="126">
        <f>'National level'!$R$18</f>
        <v>66</v>
      </c>
      <c r="E80" s="126">
        <f>'National level'!$R$19</f>
        <v>0</v>
      </c>
      <c r="F80">
        <f>COUNTIFS('Inventory - Public Private FMS'!$J$17:$J$1792, "*Bulgaria*", 'Inventory - Public Private FMS'!$P$17:$P$1792, "*Protected Designation of Origin (PDO) / Protected Geographical Indication (PGI)*")</f>
        <v>0</v>
      </c>
      <c r="G80">
        <f t="shared" si="1"/>
        <v>66</v>
      </c>
    </row>
    <row r="81" spans="2:7">
      <c r="B81" s="271" t="s">
        <v>605</v>
      </c>
      <c r="C81" s="270">
        <f>'National level'!$R$89</f>
        <v>62</v>
      </c>
      <c r="D81" s="126">
        <f>'National level'!$R$90</f>
        <v>54</v>
      </c>
      <c r="E81" s="126">
        <f>'National level'!$R$91</f>
        <v>8</v>
      </c>
      <c r="F81">
        <f>COUNTIFS('Inventory - Public Private FMS'!$J$17:$J$1792, "*Portugal*", 'Inventory - Public Private FMS'!$P$17:$P$1792, "*Protected Designation of Origin (PDO) / Protected Geographical Indication (PGI)*")</f>
        <v>50</v>
      </c>
      <c r="G81">
        <f t="shared" si="1"/>
        <v>12</v>
      </c>
    </row>
    <row r="82" spans="2:7">
      <c r="B82" s="271" t="s">
        <v>306</v>
      </c>
      <c r="C82" s="270">
        <f>'National level'!$R$9</f>
        <v>56</v>
      </c>
      <c r="D82" s="126">
        <f>'National level'!$R$10</f>
        <v>38</v>
      </c>
      <c r="E82" s="126">
        <f>'National level'!$R$11</f>
        <v>18</v>
      </c>
      <c r="F82">
        <f>COUNTIFS('Inventory - Public Private FMS'!$J$17:$J$1792, "*Germany*", 'Inventory - Public Private FMS'!$P$17:$P$1792, "*Protected Designation of Origin (PDO) / Protected Geographical Indication (PGI)*")</f>
        <v>34</v>
      </c>
      <c r="G82">
        <f t="shared" si="1"/>
        <v>22</v>
      </c>
    </row>
    <row r="83" spans="2:7">
      <c r="B83" s="271" t="s">
        <v>3282</v>
      </c>
      <c r="C83" s="270">
        <f>'National level'!$R$49</f>
        <v>40</v>
      </c>
      <c r="D83" s="126">
        <f>'National level'!$R$50</f>
        <v>40</v>
      </c>
      <c r="E83" s="126">
        <f>'National level'!$R$51</f>
        <v>0</v>
      </c>
      <c r="F83">
        <f>COUNTIFS('Inventory - Public Private FMS'!$J$17:$J$1792, "*Greece*", 'Inventory - Public Private FMS'!$P$17:$P$1792, "*Protected Designation of Origin (PDO) / Protected Geographical Indication (PGI)*")</f>
        <v>40</v>
      </c>
      <c r="G83">
        <f t="shared" si="1"/>
        <v>0</v>
      </c>
    </row>
    <row r="84" spans="2:7">
      <c r="B84" s="271" t="s">
        <v>365</v>
      </c>
      <c r="C84" s="270">
        <f>'National level'!$R$13</f>
        <v>35</v>
      </c>
      <c r="D84" s="126">
        <f>'National level'!$R$14</f>
        <v>6</v>
      </c>
      <c r="E84" s="126">
        <f>'National level'!$R$15</f>
        <v>29</v>
      </c>
      <c r="F84">
        <f>COUNTIFS('Inventory - Public Private FMS'!$J$17:$J$1792, "*Belgium*", 'Inventory - Public Private FMS'!$P$17:$P$1792, "*Protected Designation of Origin (PDO) / Protected Geographical Indication (PGI)*")</f>
        <v>4</v>
      </c>
      <c r="G84">
        <f t="shared" si="1"/>
        <v>31</v>
      </c>
    </row>
    <row r="85" spans="2:7">
      <c r="B85" s="271" t="s">
        <v>3117</v>
      </c>
      <c r="C85" s="270">
        <f>'National level'!$R$21</f>
        <v>21</v>
      </c>
      <c r="D85" s="126">
        <f>'National level'!$R$22</f>
        <v>21</v>
      </c>
      <c r="E85" s="126">
        <f>'National level'!$R$23</f>
        <v>0</v>
      </c>
      <c r="F85">
        <f>COUNTIFS('Inventory - Public Private FMS'!$J$17:$J$1792, "*Croatia*", 'Inventory - Public Private FMS'!$P$17:$P$1792, "*Protected Designation of Origin (PDO) / Protected Geographical Indication (PGI)*")</f>
        <v>14</v>
      </c>
      <c r="G85">
        <f t="shared" si="1"/>
        <v>7</v>
      </c>
    </row>
    <row r="86" spans="2:7">
      <c r="B86" s="271" t="s">
        <v>3063</v>
      </c>
      <c r="C86" s="270">
        <f>'National level'!$R$101</f>
        <v>20</v>
      </c>
      <c r="D86" s="126">
        <f>'National level'!$R$102</f>
        <v>20</v>
      </c>
      <c r="E86" s="126">
        <f>'National level'!$R$103</f>
        <v>0</v>
      </c>
      <c r="F86">
        <f>COUNTIFS('Inventory - Public Private FMS'!$J$17:$J$1792, "*Slovenia*", 'Inventory - Public Private FMS'!$P$17:$P$1792, "*Protected Designation of Origin (PDO) / Protected Geographical Indication (PGI)*")</f>
        <v>8</v>
      </c>
      <c r="G86">
        <f t="shared" si="1"/>
        <v>12</v>
      </c>
    </row>
    <row r="87" spans="2:7">
      <c r="B87" s="271" t="s">
        <v>3316</v>
      </c>
      <c r="C87" s="270">
        <f>'National level'!$R$53</f>
        <v>18</v>
      </c>
      <c r="D87" s="126">
        <f>'National level'!$R$54</f>
        <v>18</v>
      </c>
      <c r="E87" s="126">
        <f>'National level'!$R$55</f>
        <v>0</v>
      </c>
      <c r="F87">
        <f>COUNTIFS('Inventory - Public Private FMS'!$J$17:$J$1792, "*Hungary*", 'Inventory - Public Private FMS'!$P$17:$P$1792, "*Protected Designation of Origin (PDO) / Protected Geographical Indication (PGI)*")</f>
        <v>18</v>
      </c>
      <c r="G87">
        <f t="shared" si="1"/>
        <v>0</v>
      </c>
    </row>
    <row r="88" spans="2:7">
      <c r="B88" s="271" t="s">
        <v>694</v>
      </c>
      <c r="C88" s="270">
        <f>'National level'!$R$85</f>
        <v>18</v>
      </c>
      <c r="D88" s="126">
        <f>'National level'!$R$86</f>
        <v>13</v>
      </c>
      <c r="E88" s="126">
        <f>'National level'!$R$87</f>
        <v>5</v>
      </c>
      <c r="F88">
        <f>COUNTIFS('Inventory - Public Private FMS'!$J$17:$J$1792, "*Poland*", 'Inventory - Public Private FMS'!$P$17:$P$1792, "*Protected Designation of Origin (PDO) / Protected Geographical Indication (PGI)*")</f>
        <v>9</v>
      </c>
      <c r="G88">
        <f t="shared" si="1"/>
        <v>9</v>
      </c>
    </row>
    <row r="89" spans="2:7">
      <c r="B89" s="271" t="s">
        <v>587</v>
      </c>
      <c r="C89" s="270">
        <f>'National level'!$R$81</f>
        <v>12</v>
      </c>
      <c r="D89" s="126">
        <f>'National level'!$R$82</f>
        <v>6</v>
      </c>
      <c r="E89" s="126">
        <f>'National level'!$R$83</f>
        <v>6</v>
      </c>
      <c r="F89">
        <f>COUNTIFS('Inventory - Public Private FMS'!$J$17:$J$1792, "*Netherlands*", 'Inventory - Public Private FMS'!$P$17:$P$1792, "*Protected Designation of Origin (PDO) / Protected Geographical Indication (PGI)*")</f>
        <v>4</v>
      </c>
      <c r="G89">
        <f t="shared" si="1"/>
        <v>8</v>
      </c>
    </row>
    <row r="90" spans="2:7">
      <c r="B90" s="271" t="s">
        <v>299</v>
      </c>
      <c r="C90" s="270">
        <f>'National level'!$R$5</f>
        <v>9</v>
      </c>
      <c r="D90" s="126">
        <f>'National level'!$R$6</f>
        <v>8</v>
      </c>
      <c r="E90" s="126">
        <f>'National level'!$R$7</f>
        <v>1</v>
      </c>
      <c r="F90">
        <f>COUNTIFS('Inventory - Public Private FMS'!$J$17:$J$1792, "*Austria*", 'Inventory - Public Private FMS'!$P$17:$P$1792, "*Protected Designation of Origin (PDO) / Protected Geographical Indication (PGI)*")</f>
        <v>7</v>
      </c>
      <c r="G90">
        <f t="shared" si="1"/>
        <v>2</v>
      </c>
    </row>
    <row r="91" spans="2:7">
      <c r="B91" s="271" t="s">
        <v>3443</v>
      </c>
      <c r="C91" s="270">
        <f>'National level'!$R$109</f>
        <v>7</v>
      </c>
      <c r="D91" s="126">
        <f>'National level'!$R$110</f>
        <v>7</v>
      </c>
      <c r="E91" s="126">
        <f>'National level'!$R$111</f>
        <v>0</v>
      </c>
      <c r="F91">
        <f>COUNTIFS('Inventory - Public Private FMS'!$J$17:$J$1792, "*Sweden*", 'Inventory - Public Private FMS'!$P$17:$P$1792, "*Protected Designation of Origin (PDO) / Protected Geographical Indication (PGI)*")</f>
        <v>7</v>
      </c>
      <c r="G91">
        <f t="shared" si="1"/>
        <v>0</v>
      </c>
    </row>
    <row r="92" spans="2:7">
      <c r="B92" s="271" t="s">
        <v>3230</v>
      </c>
      <c r="C92" s="270">
        <f>'National level'!$R$57</f>
        <v>6</v>
      </c>
      <c r="D92" s="126">
        <f>'National level'!$R$58</f>
        <v>6</v>
      </c>
      <c r="E92" s="126">
        <f>'National level'!$R$59</f>
        <v>0</v>
      </c>
      <c r="F92">
        <f>COUNTIFS('Inventory - Public Private FMS'!$J$17:$J$1792, "*Ireland*", 'Inventory - Public Private FMS'!$P$17:$P$1792, "*Protected Designation of Origin (PDO) / Protected Geographical Indication (PGI)*")</f>
        <v>2</v>
      </c>
      <c r="G92">
        <f t="shared" si="1"/>
        <v>4</v>
      </c>
    </row>
    <row r="93" spans="2:7">
      <c r="B93" s="271" t="s">
        <v>3273</v>
      </c>
      <c r="C93" s="270">
        <f>'National level'!$R$41</f>
        <v>5</v>
      </c>
      <c r="D93" s="126">
        <f>'National level'!$R$42</f>
        <v>5</v>
      </c>
      <c r="E93" s="126">
        <f>'National level'!$R$60</f>
        <v>6</v>
      </c>
      <c r="F93">
        <f>COUNTIFS('Inventory - Public Private FMS'!$J$17:$J$1792, "*Finland*", 'Inventory - Public Private FMS'!$P$17:$P$1792, "*Protected Designation of Origin (PDO) / Protected Geographical Indication (PGI)*")</f>
        <v>5</v>
      </c>
      <c r="G93">
        <f t="shared" si="1"/>
        <v>0</v>
      </c>
    </row>
    <row r="94" spans="2:7">
      <c r="B94" s="271" t="s">
        <v>3205</v>
      </c>
      <c r="C94" s="270">
        <f>'National level'!$R$77</f>
        <v>5</v>
      </c>
      <c r="D94" s="126">
        <f>'National level'!$R$78</f>
        <v>5</v>
      </c>
      <c r="E94" s="126">
        <f>'National level'!$R$79</f>
        <v>0</v>
      </c>
      <c r="F94">
        <f>COUNTIFS('Inventory - Public Private FMS'!$J$17:$J$1792, "*Malta*", 'Inventory - Public Private FMS'!$P$17:$P$1792, "*Protected Designation of Origin (PDO) / Protected Geographical Indication (PGI)*")</f>
        <v>0</v>
      </c>
      <c r="G94">
        <f t="shared" si="1"/>
        <v>5</v>
      </c>
    </row>
    <row r="95" spans="2:7">
      <c r="B95" s="271" t="s">
        <v>712</v>
      </c>
      <c r="C95" s="270">
        <f>'National level'!$R$33</f>
        <v>3</v>
      </c>
      <c r="D95" s="126">
        <f>'National level'!$R$34</f>
        <v>2</v>
      </c>
      <c r="E95" s="126">
        <f>'National level'!$R$35</f>
        <v>1</v>
      </c>
      <c r="F95">
        <f>COUNTIFS('Inventory - Public Private FMS'!$J$17:$J$1792, "*Denmark*", 'Inventory - Public Private FMS'!$P$17:$P$1792, "*Protected Designation of Origin (PDO) / Protected Geographical Indication (PGI)*")</f>
        <v>2</v>
      </c>
      <c r="G95">
        <f t="shared" si="1"/>
        <v>1</v>
      </c>
    </row>
    <row r="96" spans="2:7">
      <c r="B96" s="271" t="s">
        <v>3374</v>
      </c>
      <c r="C96" s="270">
        <f>'National level'!$R$65</f>
        <v>3</v>
      </c>
      <c r="D96" s="126">
        <f>'National level'!$R$66</f>
        <v>3</v>
      </c>
      <c r="E96" s="126">
        <f>'National level'!$R$67</f>
        <v>0</v>
      </c>
      <c r="F96">
        <f>COUNTIFS('Inventory - Public Private FMS'!$J$17:$J$1792, "*Latvia*", 'Inventory - Public Private FMS'!$P$17:$P$1792, "*Protected Designation of Origin (PDO) / Protected Geographical Indication (PGI)*")</f>
        <v>3</v>
      </c>
      <c r="G96">
        <f t="shared" si="1"/>
        <v>0</v>
      </c>
    </row>
    <row r="97" spans="2:7">
      <c r="B97" s="271" t="s">
        <v>3014</v>
      </c>
      <c r="C97" s="270">
        <f>'National level'!$R$93</f>
        <v>7</v>
      </c>
      <c r="D97" s="126">
        <f>'National level'!$R$94</f>
        <v>7</v>
      </c>
      <c r="E97" s="126">
        <f>'National level'!$R$95</f>
        <v>0</v>
      </c>
      <c r="F97">
        <f>COUNTIFS('Inventory - Public Private FMS'!$J$17:$J$1792, "*Romania*", 'Inventory - Public Private FMS'!$P$17:$P$1792, "*Protected Designation of Origin (PDO) / Protected Geographical Indication (PGI)*")</f>
        <v>3</v>
      </c>
      <c r="G97">
        <f t="shared" si="1"/>
        <v>4</v>
      </c>
    </row>
    <row r="98" spans="2:7">
      <c r="B98" s="271" t="s">
        <v>3943</v>
      </c>
      <c r="C98" s="270">
        <f>'National level'!$R$29</f>
        <v>4</v>
      </c>
      <c r="D98" s="126">
        <f>'National level'!$R$30</f>
        <v>4</v>
      </c>
      <c r="E98" s="126">
        <f>'National level'!$R$31</f>
        <v>0</v>
      </c>
      <c r="F98">
        <f>COUNTIFS('Inventory - Public Private FMS'!$J$17:$J$1792, "*Czech Republic*", 'Inventory - Public Private FMS'!$P$17:$P$1792, "*Protected Designation of Origin (PDO) / Protected Geographical Indication (PGI)*")</f>
        <v>0</v>
      </c>
      <c r="G98">
        <f t="shared" si="1"/>
        <v>4</v>
      </c>
    </row>
    <row r="99" spans="2:7">
      <c r="B99" s="271" t="s">
        <v>3942</v>
      </c>
      <c r="C99" s="270">
        <f>'National level'!$R$25</f>
        <v>2</v>
      </c>
      <c r="D99" s="126">
        <f>'National level'!$R$26</f>
        <v>2</v>
      </c>
      <c r="E99" s="126">
        <f>'National level'!$R$27</f>
        <v>0</v>
      </c>
      <c r="F99">
        <f>COUNTIFS('Inventory - Public Private FMS'!$J$17:$J$1792, "*Cyprus*", 'Inventory - Public Private FMS'!$P$17:$P$1792, "*Protected Designation of Origin (PDO) / Protected Geographical Indication (PGI)*")</f>
        <v>2</v>
      </c>
      <c r="G99">
        <f t="shared" si="1"/>
        <v>0</v>
      </c>
    </row>
    <row r="100" spans="2:7">
      <c r="B100" s="271" t="s">
        <v>3946</v>
      </c>
      <c r="C100" s="270">
        <f>'National level'!$R$73</f>
        <v>1</v>
      </c>
      <c r="D100" s="126">
        <f>'National level'!$R$74</f>
        <v>1</v>
      </c>
      <c r="E100" s="126">
        <f>'National level'!$R$75</f>
        <v>0</v>
      </c>
      <c r="F100">
        <f>COUNTIFS('Inventory - Public Private FMS'!$J$17:$J$1792, "*Luxembourg*", 'Inventory - Public Private FMS'!$P$17:$P$1792, "*Protected Designation of Origin (PDO) / Protected Geographical Indication (PGI)*")</f>
        <v>0</v>
      </c>
      <c r="G100">
        <f t="shared" si="1"/>
        <v>1</v>
      </c>
    </row>
    <row r="101" spans="2:7">
      <c r="B101" s="271" t="s">
        <v>3944</v>
      </c>
      <c r="C101" s="270">
        <f>'National level'!$R$37</f>
        <v>0</v>
      </c>
      <c r="D101" s="126">
        <f>'National level'!$R$38</f>
        <v>0</v>
      </c>
      <c r="E101" s="126">
        <f>'National level'!$R$39</f>
        <v>0</v>
      </c>
      <c r="F101">
        <f>COUNTIFS('Inventory - Public Private FMS'!$J$17:$J$1792, "*Luxembourg*", 'Inventory - Public Private FMS'!$P$17:$P$1792, "*Protected Designation of Origin (PDO) / Protected Geographical Indication (PGI)*")</f>
        <v>0</v>
      </c>
      <c r="G101">
        <f t="shared" si="1"/>
        <v>0</v>
      </c>
    </row>
    <row r="102" spans="2:7">
      <c r="B102" s="271" t="s">
        <v>3945</v>
      </c>
      <c r="C102" s="270">
        <f>'National level'!$R$69</f>
        <v>0</v>
      </c>
      <c r="D102" s="126">
        <f>'National level'!$R$70</f>
        <v>0</v>
      </c>
      <c r="E102" s="126">
        <f>'National level'!$R$71</f>
        <v>0</v>
      </c>
      <c r="F102">
        <f>COUNTIFS('Inventory - Public Private FMS'!$J$17:$J$1792, "*Lithuania*", 'Inventory - Public Private FMS'!$P$17:$P$1792, "*Protected Designation of Origin (PDO) / Protected Geographical Indication (PGI)*")</f>
        <v>0</v>
      </c>
      <c r="G102">
        <f t="shared" si="1"/>
        <v>0</v>
      </c>
    </row>
    <row r="103" spans="2:7">
      <c r="B103" s="271" t="s">
        <v>3947</v>
      </c>
      <c r="C103" s="270">
        <f>'National level'!$R$97</f>
        <v>0</v>
      </c>
      <c r="D103" s="126">
        <f>'National level'!$R$98</f>
        <v>0</v>
      </c>
      <c r="E103" s="126">
        <f>'National level'!$R$99</f>
        <v>0</v>
      </c>
      <c r="F103">
        <f>COUNTIFS('Inventory - Public Private FMS'!$J$17:$J$1792, "*Slovakia*", 'Inventory - Public Private FMS'!$P$17:$P$1792, "*Protected Designation of Origin (PDO) / Protected Geographical Indication (PGI)*")</f>
        <v>0</v>
      </c>
      <c r="G103">
        <f t="shared" si="1"/>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Chantal den Broeder</dc:creator>
  <cp:keywords/>
  <dc:description/>
  <cp:lastModifiedBy/>
  <cp:revision/>
  <dcterms:created xsi:type="dcterms:W3CDTF">2024-09-10T21:11:43Z</dcterms:created>
  <dcterms:modified xsi:type="dcterms:W3CDTF">2024-10-31T10:03:02Z</dcterms:modified>
  <cp:category/>
  <cp:contentStatus/>
</cp:coreProperties>
</file>